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GFTm817Cu1igeiQbOih3ymSxvtsehVWkF632Sehjtm5+RGutNiqFqed3LzowQ9qlFMn41RSzNsM/SzptTdt0ig==" workbookSaltValue="5iKvCEHZoOzoOnrj5Kjf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7" i="17"/>
  <c r="BU12" i="17"/>
  <c r="T13" i="16"/>
  <c r="AZ16"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AZ11" i="11"/>
  <c r="S11" i="17"/>
  <c r="BV10" i="16"/>
  <c r="BW12" i="20"/>
  <c r="BU11" i="17"/>
  <c r="BK17" i="11"/>
  <c r="BJ12" i="11"/>
  <c r="BM12" i="11"/>
  <c r="BF10" i="11"/>
  <c r="BM16" i="11"/>
  <c r="BH11"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<sst xmlns="http://schemas.openxmlformats.org/spreadsheetml/2006/main" count="2102" uniqueCount="918">
  <si>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</si>
  <si>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</si>
  <si>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</si>
  <si>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</si>
  <si>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</si>
  <si>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</si>
  <si>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</si>
  <si>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</si>
  <si>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</si>
  <si>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</si>
  <si>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</si>
  <si>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</si>
  <si>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</si>
  <si>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</si>
  <si>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</si>
  <si>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</si>
  <si>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</si>
  <si>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</si>
  <si>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</si>
  <si>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</si>
  <si>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</si>
  <si>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</si>
  <si>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</si>
  <si>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</si>
  <si>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</si>
  <si>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</si>
  <si>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</si>
  <si>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</si>
  <si>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</si>
  <si>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</si>
  <si>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</si>
  <si>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</si>
  <si>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</si>
  <si>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</si>
  <si>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</si>
  <si>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</si>
  <si>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</si>
  <si>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</si>
  <si>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</si>
  <si>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</si>
  <si>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</si>
  <si>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</si>
  <si>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</si>
  <si>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</si>
  <si>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</si>
  <si>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</si>
  <si>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</si>
  <si>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</si>
  <si>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</si>
  <si>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</si>
  <si>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</si>
  <si>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</si>
  <si>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</si>
  <si>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</si>
  <si>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</si>
  <si>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</si>
  <si>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</si>
  <si>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</si>
  <si>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</si>
  <si>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</si>
  <si>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</si>
  <si>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</si>
  <si>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</si>
  <si>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</si>
  <si>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</si>
  <si>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</si>
  <si>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</si>
  <si>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</si>
  <si>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</si>
  <si>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</si>
  <si>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</si>
  <si>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</si>
  <si>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</si>
  <si>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</si>
  <si>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</si>
  <si>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</si>
  <si>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</si>
  <si>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</si>
  <si>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</si>
  <si>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</si>
  <si>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</si>
  <si>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</si>
  <si>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</si>
  <si>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</si>
  <si>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</si>
  <si>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</si>
  <si>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</si>
  <si>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</si>
  <si>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</si>
  <si>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</si>
  <si>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</si>
  <si>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</si>
  <si>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</si>
  <si>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</si>
  <si>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</si>
  <si>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</si>
  <si>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</si>
  <si>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</si>
  <si>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</si>
  <si>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</si>
  <si>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</si>
  <si>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</si>
  <si>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</si>
  <si>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</si>
  <si>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</si>
  <si>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</si>
  <si>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</si>
  <si>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</si>
  <si>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</si>
  <si>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</si>
  <si>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</si>
  <si>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</si>
  <si>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</si>
  <si>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</si>
  <si>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</si>
  <si>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</si>
  <si>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</si>
  <si>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</si>
  <si>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</si>
  <si>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</si>
  <si>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</si>
  <si>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</si>
  <si>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</si>
  <si>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</si>
  <si>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</si>
  <si>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</si>
  <si>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</si>
  <si>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</si>
  <si>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</si>
  <si>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</si>
  <si>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</si>
  <si>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</si>
  <si>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</si>
  <si>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</si>
  <si>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</si>
  <si>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</si>
  <si>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</si>
  <si>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</si>
  <si>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</si>
  <si>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</si>
  <si>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</si>
  <si>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</si>
  <si>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</si>
  <si>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</si>
  <si>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</si>
  <si>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</si>
  <si>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</si>
  <si>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</si>
  <si>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</si>
  <si>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</si>
  <si>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</si>
  <si>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</si>
  <si>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</si>
  <si>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</si>
  <si>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</si>
  <si>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</si>
  <si>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</si>
  <si>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</si>
  <si>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</si>
  <si>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</si>
  <si>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</si>
  <si>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</si>
  <si>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</si>
  <si>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</si>
  <si>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</si>
  <si>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</si>
  <si>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</si>
  <si>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</si>
  <si>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</si>
  <si>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</si>
  <si>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</si>
  <si>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</si>
  <si>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</si>
  <si>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</si>
  <si>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</si>
  <si>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</si>
  <si>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</si>
  <si>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</si>
  <si>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</si>
  <si>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</si>
  <si>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</si>
  <si>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</si>
  <si>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</si>
  <si>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</si>
  <si>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</si>
  <si>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</si>
  <si>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</si>
  <si>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</si>
  <si>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</si>
  <si>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</si>
  <si>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</si>
  <si>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</si>
  <si>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</si>
  <si>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</si>
  <si>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</si>
  <si>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</si>
  <si>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</si>
  <si>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</si>
  <si>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</si>
  <si>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</si>
  <si>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</si>
  <si>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</si>
  <si>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</si>
  <si>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</si>
  <si>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</si>
  <si>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</si>
  <si>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</si>
  <si>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</si>
  <si>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</si>
  <si>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</si>
  <si>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</si>
  <si>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</si>
  <si>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</si>
  <si>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</si>
  <si>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</si>
  <si>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</si>
  <si>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</si>
  <si>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</si>
  <si>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</si>
  <si>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</si>
  <si>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</si>
  <si>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</si>
  <si>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</si>
  <si>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</si>
  <si>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</si>
  <si>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</si>
  <si>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</si>
  <si>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</si>
  <si>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</si>
  <si>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</si>
  <si>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</si>
  <si>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</si>
  <si>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</si>
  <si>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</si>
  <si>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</si>
  <si>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</si>
  <si>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</si>
  <si>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</si>
  <si>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</si>
  <si>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</si>
  <si>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</si>
  <si>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</si>
  <si>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</si>
  <si>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</si>
  <si>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</si>
  <si>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</si>
  <si>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</si>
  <si>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</si>
  <si>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</si>
  <si>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</si>
  <si>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</si>
  <si>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</si>
  <si>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</si>
  <si>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</si>
  <si>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</si>
  <si>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</si>
  <si>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</si>
  <si>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</si>
  <si>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</si>
  <si>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</si>
  <si>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</si>
  <si>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</si>
  <si>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</si>
  <si>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</si>
  <si>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</si>
  <si>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</si>
  <si>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</si>
  <si>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</si>
  <si>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</si>
  <si>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</si>
  <si>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</si>
  <si>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</si>
  <si>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</si>
  <si>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</si>
  <si>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</si>
  <si>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</si>
  <si>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</si>
  <si>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</si>
  <si>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</si>
  <si>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</si>
  <si>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</si>
  <si>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</si>
  <si>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</si>
  <si>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</si>
  <si>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</si>
  <si>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</si>
  <si>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</si>
  <si>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</si>
  <si>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</si>
  <si>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</si>
  <si>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</si>
  <si>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</si>
  <si>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</si>
  <si>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</si>
  <si>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</si>
  <si>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</si>
  <si>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</si>
  <si>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</si>
  <si>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</si>
  <si>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</si>
  <si>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</si>
  <si>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</si>
  <si>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</si>
  <si>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</si>
  <si>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</si>
  <si>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</si>
  <si>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</si>
  <si>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</si>
  <si>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</si>
  <si>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</si>
  <si>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</si>
  <si>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</si>
  <si>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</si>
  <si>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</si>
  <si>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</si>
  <si>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</si>
  <si>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</si>
  <si>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</si>
  <si>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</si>
  <si>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</si>
  <si>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</si>
  <si>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</si>
  <si>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</si>
  <si>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</si>
  <si>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</si>
  <si>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</si>
  <si>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</si>
  <si>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</si>
  <si>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</si>
  <si>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</si>
  <si>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</si>
  <si>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</si>
  <si>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</si>
  <si>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</si>
  <si>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</si>
  <si>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</si>
  <si>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</si>
  <si>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</si>
  <si>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</si>
  <si>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</si>
  <si>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</si>
  <si>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</si>
  <si>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</si>
  <si>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</si>
  <si>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</si>
  <si>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</si>
  <si>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</si>
  <si>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</si>
  <si>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</si>
  <si>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</si>
  <si>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</si>
  <si>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</si>
  <si>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</si>
  <si>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</si>
  <si>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</si>
  <si>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</si>
  <si>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</si>
  <si>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</si>
  <si>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</si>
  <si>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</si>
  <si>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</si>
  <si>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</si>
  <si>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</si>
  <si>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</si>
  <si>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</si>
  <si>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</si>
  <si>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</si>
  <si>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</si>
  <si>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</si>
  <si>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</si>
  <si>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</si>
  <si>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</si>
  <si>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</si>
  <si>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</si>
  <si>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</si>
  <si>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</si>
  <si>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</si>
  <si>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</si>
  <si>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</si>
  <si>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</si>
  <si>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</si>
  <si>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</si>
  <si>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</si>
  <si>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</si>
  <si>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</si>
  <si>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</si>
  <si>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</si>
  <si>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</si>
  <si>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</si>
  <si>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</si>
  <si>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</si>
  <si>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</si>
  <si>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</si>
  <si>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</si>
  <si>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</si>
  <si>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</si>
  <si>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</si>
  <si>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</si>
  <si>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</si>
  <si>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</si>
  <si>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</si>
  <si>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</si>
  <si>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</si>
  <si>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</si>
  <si>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</si>
  <si>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</si>
  <si>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</si>
  <si>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</si>
  <si>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</si>
  <si>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</si>
  <si>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</si>
  <si>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</si>
  <si>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</si>
  <si>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</si>
  <si>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</si>
  <si>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</si>
  <si>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</si>
  <si>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</si>
  <si>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</si>
  <si>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</si>
  <si>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</si>
  <si>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</si>
  <si>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</si>
  <si>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</si>
  <si>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</si>
  <si>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</si>
  <si>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</si>
  <si>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</si>
  <si>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</si>
  <si>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</si>
  <si>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</si>
  <si>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</si>
  <si>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</si>
  <si>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</si>
  <si>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</si>
  <si>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</si>
  <si>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</si>
  <si>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</si>
  <si>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</si>
  <si>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</si>
  <si>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</si>
  <si>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</si>
  <si>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</si>
  <si>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</si>
  <si>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</si>
  <si>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</si>
  <si>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</si>
  <si>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</si>
  <si>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</si>
  <si>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</si>
  <si>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</si>
  <si>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</si>
  <si>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</si>
  <si>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</si>
  <si>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</si>
  <si>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</si>
  <si>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</si>
  <si>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</si>
  <si>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</si>
  <si>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</si>
  <si>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</si>
  <si>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</si>
  <si>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</si>
  <si>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</si>
  <si>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</si>
  <si>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</si>
  <si>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</si>
  <si>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</si>
  <si>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</si>
  <si>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</si>
  <si>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</si>
  <si>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</si>
  <si>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</si>
  <si>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</si>
  <si>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</si>
  <si>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</si>
  <si>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</si>
  <si>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</si>
  <si>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</si>
  <si>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</si>
  <si>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</si>
  <si>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</si>
  <si>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</si>
  <si>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</si>
  <si>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</si>
  <si>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</si>
  <si>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</si>
  <si>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</si>
  <si>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</si>
  <si>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</si>
  <si>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</si>
  <si>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</si>
  <si>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</si>
  <si>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</si>
  <si>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</si>
  <si>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</si>
  <si>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</si>
  <si>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</si>
  <si>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</si>
  <si>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</si>
  <si>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</si>
  <si>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</si>
  <si>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</si>
  <si>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</si>
  <si>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</si>
  <si>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</si>
  <si>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</si>
  <si>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</si>
  <si>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</si>
  <si>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</si>
  <si>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</si>
  <si>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</si>
  <si>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</si>
  <si>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</si>
  <si>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</si>
  <si>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</si>
  <si>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</si>
  <si>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</si>
  <si>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</si>
  <si>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</si>
  <si>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</si>
  <si>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</si>
  <si>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</si>
  <si>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</si>
  <si>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</si>
  <si>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</si>
  <si>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</si>
  <si>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</si>
  <si>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</si>
  <si>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</si>
  <si>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</si>
  <si>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</si>
  <si>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</si>
  <si>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</si>
  <si>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</si>
  <si>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</si>
  <si>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</si>
  <si>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</si>
  <si>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</si>
  <si>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</si>
  <si>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</si>
  <si>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</si>
  <si>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</si>
  <si>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</si>
  <si>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</si>
  <si>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</si>
  <si>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</si>
  <si>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</si>
  <si>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</si>
  <si>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</si>
  <si>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</si>
  <si>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</si>
  <si>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</si>
  <si>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</si>
  <si>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</si>
  <si>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</si>
  <si>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</si>
  <si>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</si>
  <si>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</si>
  <si>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</si>
  <si>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</si>
  <si>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</si>
  <si>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</si>
  <si>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</si>
  <si>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</si>
  <si>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</si>
  <si>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</si>
  <si>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</si>
  <si>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</si>
  <si>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</si>
  <si>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</si>
  <si>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</si>
  <si>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</si>
  <si>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</si>
  <si>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</si>
  <si>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</si>
  <si>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</si>
  <si>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</si>
  <si>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</si>
  <si>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</si>
  <si>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</si>
  <si>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</si>
  <si>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</si>
  <si>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</si>
  <si>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</si>
  <si>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</si>
  <si>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</si>
  <si>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</si>
  <si>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</si>
  <si>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</si>
  <si>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</si>
  <si>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</si>
  <si>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</si>
  <si>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</si>
  <si>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</si>
  <si>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</si>
  <si>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</si>
  <si>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</si>
  <si>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</si>
  <si>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</si>
  <si>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</si>
  <si>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</si>
  <si>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</si>
  <si>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</si>
  <si>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</si>
  <si>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</si>
  <si>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</si>
  <si>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</si>
  <si>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</si>
  <si>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</si>
  <si>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</si>
  <si>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</si>
  <si>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</si>
  <si>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</si>
  <si>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</si>
  <si>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</si>
  <si>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</si>
  <si>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</si>
  <si>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</si>
  <si>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</si>
  <si>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</si>
  <si>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</si>
  <si>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</si>
  <si>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</si>
  <si>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</si>
  <si>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</si>
  <si>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</si>
  <si>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</si>
  <si>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</si>
  <si>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</si>
  <si>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</si>
  <si>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</si>
  <si>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</si>
  <si>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</si>
  <si>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</si>
  <si>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</si>
  <si>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</si>
  <si>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</si>
  <si>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</si>
  <si>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</si>
  <si>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</si>
  <si>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</si>
  <si>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</si>
  <si>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</si>
  <si>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</si>
  <si>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</si>
  <si>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</si>
  <si>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</si>
  <si>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</si>
  <si>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</si>
  <si>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</si>
  <si>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</si>
  <si>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</si>
  <si>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</si>
  <si>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</si>
  <si>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</si>
  <si>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</si>
  <si>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</si>
  <si>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</si>
  <si>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</si>
  <si>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</si>
  <si>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</si>
  <si>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</si>
  <si>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</si>
  <si>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</si>
  <si>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</si>
  <si>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</si>
  <si>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</si>
  <si>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</si>
  <si>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</si>
  <si>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</si>
  <si>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</si>
  <si>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</si>
  <si>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</si>
  <si>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</si>
  <si>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</si>
  <si>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</si>
  <si>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</si>
  <si>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</si>
  <si>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</si>
  <si>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</si>
  <si>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</si>
  <si>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</si>
  <si>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</si>
  <si>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</si>
  <si>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</si>
  <si>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</si>
  <si>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</si>
  <si>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</si>
  <si>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</si>
  <si>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</si>
  <si>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</si>
  <si>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</si>
  <si>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</si>
  <si>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</si>
  <si>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</si>
  <si>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</si>
  <si>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</si>
  <si>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</si>
  <si>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</si>
  <si>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</si>
  <si>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</si>
  <si>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</si>
  <si>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</si>
  <si>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</si>
  <si>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</si>
  <si>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</si>
  <si>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</si>
  <si>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</si>
  <si>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</si>
  <si>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</si>
  <si>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</si>
  <si>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</si>
  <si>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</si>
  <si>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</si>
  <si>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</si>
  <si>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</si>
  <si>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</si>
  <si>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</si>
  <si>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</si>
  <si>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</si>
  <si>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</si>
  <si>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</si>
  <si>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</si>
  <si>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</si>
  <si>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</si>
  <si>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</si>
  <si>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</si>
  <si>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</si>
  <si>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</si>
  <si>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</si>
  <si>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</si>
  <si>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</si>
  <si>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</si>
  <si>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</si>
  <si>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</si>
  <si>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</si>
  <si>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</si>
  <si>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</si>
  <si>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</si>
  <si>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</si>
  <si>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</si>
  <si>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</si>
  <si>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</si>
  <si>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</si>
  <si>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</si>
  <si>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</si>
  <si>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</si>
  <si>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</si>
  <si>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</si>
  <si>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</si>
  <si>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</si>
  <si>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</si>
  <si>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</si>
  <si>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</si>
  <si>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</si>
  <si>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</si>
  <si>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</si>
  <si>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</si>
  <si>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</si>
  <si>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</si>
  <si>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</si>
  <si>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</si>
  <si>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</si>
  <si>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</si>
  <si>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</si>
  <si>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</si>
  <si>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</si>
  <si>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</si>
  <si>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</si>
  <si>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</si>
  <si>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</si>
  <si>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</si>
  <si>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</si>
  <si>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</si>
  <si>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</si>
  <si>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</si>
  <si>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</si>
  <si>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</si>
  <si>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</si>
  <si>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</si>
  <si>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</si>
  <si>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</si>
  <si>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</si>
  <si>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</si>
  <si>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</si>
  <si>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</si>
  <si>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</si>
  <si>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</si>
  <si>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</si>
  <si>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</si>
  <si>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</si>
  <si>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</si>
  <si>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</si>
  <si>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</si>
  <si>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</si>
  <si>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</si>
  <si>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</si>
  <si>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</si>
  <si>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</si>
  <si>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</si>
  <si>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</si>
  <si>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</si>
  <si>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</si>
  <si>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</si>
  <si>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</si>
  <si>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</si>
  <si>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</si>
  <si>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</si>
  <si>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</si>
  <si>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</si>
  <si>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</si>
  <si>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</si>
  <si>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</si>
  <si>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</si>
  <si>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</si>
  <si>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</si>
  <si>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</si>
  <si>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</si>
  <si>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</si>
  <si>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</si>
  <si>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</si>
  <si>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</si>
  <si>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</si>
  <si>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</si>
  <si>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</si>
  <si>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</si>
  <si>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</si>
  <si>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</si>
  <si>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</si>
  <si>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</si>
  <si>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</si>
  <si>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</si>
  <si>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</si>
  <si>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</si>
  <si>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</si>
  <si>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</si>
  <si>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</si>
  <si>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</si>
  <si>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</si>
  <si>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</si>
  <si>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</si>
  <si>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</si>
  <si>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</si>
  <si>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</si>
  <si>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</si>
  <si>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</si>
  <si>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</si>
  <si>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</si>
  <si>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</si>
  <si>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</si>
  <si>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</si>
  <si>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</si>
  <si>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</si>
  <si>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</si>
  <si>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</si>
  <si>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</si>
  <si>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</si>
  <si>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</si>
  <si>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</si>
  <si>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</si>
  <si>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</si>
  <si>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</si>
  <si>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</si>
  <si>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</si>
  <si>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</si>
  <si>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</si>
  <si>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</si>
  <si>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</si>
  <si>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</si>
  <si>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</si>
  <si>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</si>
  <si>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</si>
  <si>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</si>
  <si>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</si>
  <si>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</si>
  <si>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</si>
  <si>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</si>
  <si>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</si>
  <si>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</si>
  <si>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</si>
  <si>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</si>
  <si>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</si>
  <si>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</si>
  <si>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</si>
  <si>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</si>
  <si>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</si>
  <si>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</si>
  <si>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</si>
  <si>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</si>
  <si>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</si>
  <si>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</si>
  <si>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</si>
  <si>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</si>
  <si>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</si>
  <si>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</si>
  <si>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</si>
  <si>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</si>
  <si>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</si>
  <si>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</si>
  <si>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</si>
  <si>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</si>
  <si>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</si>
  <si>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</si>
  <si>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</si>
  <si>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</si>
  <si>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</si>
  <si>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</si>
  <si>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</si>
  <si>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</si>
  <si>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</si>
  <si>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</si>
  <si>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</si>
  <si>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</si>
  <si>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</si>
  <si>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</si>
  <si>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</si>
  <si>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OLIVENZA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</si>
</sst>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AJRet6qZBKUogKY/GxyyZ5X+QBxk3T9wKuIBFWIzK0UGeCFKAtLNySTAyKBpZdG2zv7qt8B0CKtg8usBZRXQQ==" saltValue="BWKQRhZUy8vjSsFt1Zby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5</v>
      </c>
      <c r="F10" s="226">
        <f>IF(ISNUMBER(Datos!K10),Datos!K10," - ")</f>
        <v>3</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0.13333333333333333</v>
      </c>
      <c r="L10" s="1025">
        <f>IF(ISNUMBER(NºAsuntos!I10/NºAsuntos!G10),(NºAsuntos!I10/NºAsuntos!G10)*11," - ")</f>
        <v>62.333333333333336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149.52542372881356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5</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316</v>
      </c>
      <c r="D16" s="225">
        <f>IF(ISNUMBER(IF(D_I="SI",Datos!I16,Datos!I16+Datos!AC16)),IF(D_I="SI",Datos!I16,Datos!I16+Datos!AC16)," - ")</f>
        <v>316</v>
      </c>
      <c r="E16" s="226">
        <f>IF(ISNUMBER(IF(D_I="SI",Datos!J16,Datos!J16+Datos!AD16)),IF(D_I="SI",Datos!J16,Datos!J16+Datos!AD16)," - ")</f>
        <v>196</v>
      </c>
      <c r="F16" s="226">
        <f>IF(ISNUMBER(IF(D_I="SI",Datos!K16,Datos!K16+Datos!AE16)),IF(D_I="SI",Datos!K16,Datos!K16+Datos!AE16)," - ")</f>
        <v>120</v>
      </c>
      <c r="G16" s="1034" t="str">
        <f>IF(Datos!E16&lt;&gt;"",Datos!E16,Datos!D16)</f>
        <v>04</v>
      </c>
      <c r="H16" s="227">
        <f>IF(ISNUMBER(IF(D_I="SI",Datos!L16,Datos!L16+Datos!AF16)),IF(D_I="SI",Datos!L16,Datos!L16+Datos!AF16)," - ")</f>
        <v>392</v>
      </c>
      <c r="I16" s="1044" t="str">
        <f>IF(ISNUMBER(Datos!AS16/Datos!BM16),Datos!AS16/Datos!BM16," - ")</f>
        <v xml:space="preserve"> - </v>
      </c>
      <c r="J16" s="1045">
        <f>IF(ISNUMBER(Datos!BY16/Datos!CN16),Datos!BY16/Datos!CN16," - ")</f>
        <v>0</v>
      </c>
      <c r="K16" s="230">
        <f t="shared" si="3"/>
        <v>0.24050632911392406</v>
      </c>
      <c r="L16" s="1025">
        <f>IF(ISNUMBER(NºAsuntos!I16/NºAsuntos!G16),(NºAsuntos!I16/NºAsuntos!G16)*11," - ")</f>
        <v>35.93333333333333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27</v>
      </c>
      <c r="F17" s="226">
        <f>IF(ISNUMBER(IF(D_I="SI",Datos!K17,Datos!K17+Datos!AE17)),IF(D_I="SI",Datos!K17,Datos!K17+Datos!AE17)," - ")</f>
        <v>27</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10.592592592592592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342</v>
      </c>
      <c r="D18" s="1049">
        <f>SUBTOTAL(9,D15:D17)</f>
        <v>342</v>
      </c>
      <c r="E18" s="1050">
        <f>SUBTOTAL(9,E15:E17)</f>
        <v>223</v>
      </c>
      <c r="F18" s="1050">
        <f>SUBTOTAL(9,F15:F17)</f>
        <v>147</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357</v>
      </c>
      <c r="D19" s="1071">
        <f>SUBTOTAL(9,D9:D18)</f>
        <v>357</v>
      </c>
      <c r="E19" s="1072">
        <f>SUBTOTAL(9,E9:E18)</f>
        <v>228</v>
      </c>
      <c r="F19" s="1072">
        <f>SUBTOTAL(9,F9:F18)</f>
        <v>150</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c3m01O14ftSxgaDfKSsaOkvn4SilJu5VdVcJ8ec8gjL9IF56ntwgGr/fl5N3ALSBMJgJ8PY5FxBGeU3kGY2Bg==" saltValue="wjkKhicGgvm/91CE9vNo2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sj94WVn0G9HLQqeHLFMtlEJpqS5W6DWWItpL9xR1pjxgxu7951LU0bZiDQxTRAMkPQK3OuQqG0yvsYPekybg==" saltValue="RRuCkwrOe6i1hByuemfS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5</v>
      </c>
      <c r="K10" s="181">
        <v>3</v>
      </c>
      <c r="L10" s="181">
        <v>17</v>
      </c>
      <c r="M10" s="181">
        <v>3</v>
      </c>
      <c r="N10" s="181">
        <v>0</v>
      </c>
      <c r="O10" s="181">
        <v>0</v>
      </c>
      <c r="P10" s="181">
        <v>0</v>
      </c>
      <c r="Q10" s="181">
        <v>0</v>
      </c>
      <c r="R10" s="181">
        <v>1</v>
      </c>
      <c r="S10" s="181">
        <v>19</v>
      </c>
      <c r="T10" s="181">
        <v>5</v>
      </c>
      <c r="U10" s="181">
        <v>3</v>
      </c>
      <c r="V10" s="181">
        <v>21</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5</v>
      </c>
      <c r="BA10" s="129">
        <f t="shared" si="0"/>
        <v>3</v>
      </c>
      <c r="BB10" s="129">
        <f t="shared" si="0"/>
        <v>21</v>
      </c>
      <c r="BC10" s="125">
        <f t="shared" si="0"/>
        <v>2</v>
      </c>
      <c r="BD10" s="126">
        <f>IF(ISNUMBER(BA10/AZ10),BA10/AZ10," - ")</f>
        <v>0.6</v>
      </c>
      <c r="BE10" s="127">
        <f>IF(ISNUMBER(BB10/BA10),BB10/BA10, " - ")</f>
        <v>7</v>
      </c>
      <c r="BF10" s="127">
        <f>IF(ISNUMBER(BC10/BA10),BC10/BA10, " - ")</f>
        <v>0.66666666666666663</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1381</v>
      </c>
      <c r="J12" s="183">
        <v>285</v>
      </c>
      <c r="K12" s="183">
        <v>113</v>
      </c>
      <c r="L12" s="183">
        <v>1553</v>
      </c>
      <c r="M12" s="183">
        <v>30</v>
      </c>
      <c r="N12" s="183">
        <v>62</v>
      </c>
      <c r="O12" s="181">
        <v>55</v>
      </c>
      <c r="P12" s="183">
        <v>59</v>
      </c>
      <c r="Q12" s="183">
        <v>33</v>
      </c>
      <c r="R12" s="183">
        <v>1127</v>
      </c>
      <c r="S12" s="183">
        <v>966</v>
      </c>
      <c r="T12" s="183">
        <v>342</v>
      </c>
      <c r="U12" s="183">
        <v>135</v>
      </c>
      <c r="V12" s="183">
        <v>1173</v>
      </c>
      <c r="W12" s="183">
        <v>34</v>
      </c>
      <c r="X12" s="189">
        <v>55</v>
      </c>
      <c r="Y12" s="191">
        <v>46</v>
      </c>
      <c r="Z12" s="181">
        <v>10</v>
      </c>
      <c r="AA12" s="181">
        <v>5</v>
      </c>
      <c r="AB12" s="181">
        <v>51</v>
      </c>
      <c r="AC12" s="183">
        <v>0</v>
      </c>
      <c r="AD12" s="183">
        <v>0</v>
      </c>
      <c r="AE12" s="183">
        <v>0</v>
      </c>
      <c r="AF12" s="189">
        <v>0</v>
      </c>
      <c r="AG12" s="202">
        <v>47</v>
      </c>
      <c r="AH12" s="183">
        <v>13</v>
      </c>
      <c r="AI12" s="183">
        <v>11</v>
      </c>
      <c r="AJ12" s="203">
        <v>49</v>
      </c>
      <c r="AK12" s="182">
        <v>0</v>
      </c>
      <c r="AL12" s="183">
        <v>0</v>
      </c>
      <c r="AM12" s="183">
        <v>0</v>
      </c>
      <c r="AN12" s="189">
        <v>0</v>
      </c>
      <c r="AO12" s="259">
        <v>1</v>
      </c>
      <c r="AP12" s="155">
        <v>1</v>
      </c>
      <c r="AQ12" s="155">
        <v>1</v>
      </c>
      <c r="AR12" s="154">
        <v>1</v>
      </c>
      <c r="AS12" s="340" t="s">
        <v>802</v>
      </c>
      <c r="AT12" s="203"/>
      <c r="AU12" s="202"/>
      <c r="AV12" s="203"/>
      <c r="AW12" s="202"/>
      <c r="AX12" s="203"/>
      <c r="AY12" s="126">
        <f t="shared" si="1"/>
        <v>1013</v>
      </c>
      <c r="AZ12" s="127">
        <f t="shared" si="1"/>
        <v>355</v>
      </c>
      <c r="BA12" s="127">
        <f t="shared" si="1"/>
        <v>146</v>
      </c>
      <c r="BB12" s="127">
        <f t="shared" si="1"/>
        <v>1222</v>
      </c>
      <c r="BC12" s="125">
        <f>IF(ISNUMBER(X12),X12," - ")</f>
        <v>55</v>
      </c>
      <c r="BD12" s="126">
        <f t="shared" si="2"/>
        <v>0.41126760563380282</v>
      </c>
      <c r="BE12" s="127">
        <f t="shared" si="3"/>
        <v>8.3698630136986303</v>
      </c>
      <c r="BF12" s="127">
        <f t="shared" si="4"/>
        <v>0.37671232876712329</v>
      </c>
      <c r="BG12" s="196">
        <f t="shared" si="5"/>
        <v>9.3698630136986303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1396</v>
      </c>
      <c r="J13" s="184">
        <f t="shared" si="6"/>
        <v>290</v>
      </c>
      <c r="K13" s="184">
        <f t="shared" si="6"/>
        <v>116</v>
      </c>
      <c r="L13" s="184">
        <f t="shared" si="6"/>
        <v>1570</v>
      </c>
      <c r="M13" s="184">
        <f t="shared" si="6"/>
        <v>33</v>
      </c>
      <c r="N13" s="184">
        <f t="shared" si="6"/>
        <v>62</v>
      </c>
      <c r="O13" s="184">
        <f t="shared" si="6"/>
        <v>55</v>
      </c>
      <c r="P13" s="184">
        <f t="shared" si="6"/>
        <v>59</v>
      </c>
      <c r="Q13" s="184">
        <f t="shared" si="6"/>
        <v>33</v>
      </c>
      <c r="R13" s="184">
        <f t="shared" si="6"/>
        <v>1128</v>
      </c>
      <c r="S13" s="184">
        <f t="shared" si="6"/>
        <v>985</v>
      </c>
      <c r="T13" s="184">
        <f t="shared" si="6"/>
        <v>347</v>
      </c>
      <c r="U13" s="184">
        <f t="shared" si="6"/>
        <v>138</v>
      </c>
      <c r="V13" s="184">
        <f t="shared" si="6"/>
        <v>1194</v>
      </c>
      <c r="W13" s="184">
        <f t="shared" si="6"/>
        <v>36</v>
      </c>
      <c r="X13" s="184">
        <f t="shared" si="6"/>
        <v>56</v>
      </c>
      <c r="Y13" s="184">
        <f t="shared" si="6"/>
        <v>46</v>
      </c>
      <c r="Z13" s="184">
        <f t="shared" si="6"/>
        <v>10</v>
      </c>
      <c r="AA13" s="184">
        <f t="shared" si="6"/>
        <v>5</v>
      </c>
      <c r="AB13" s="184">
        <f t="shared" si="6"/>
        <v>51</v>
      </c>
      <c r="AC13" s="184">
        <f t="shared" si="6"/>
        <v>0</v>
      </c>
      <c r="AD13" s="184">
        <f t="shared" si="6"/>
        <v>0</v>
      </c>
      <c r="AE13" s="184">
        <f t="shared" si="6"/>
        <v>0</v>
      </c>
      <c r="AF13" s="184">
        <f>SUBTOTAL(9,AF9:AF12)</f>
        <v>0</v>
      </c>
      <c r="AG13" s="184">
        <f t="shared" ref="AG13:AT13" si="7">SUBTOTAL(9,AG8:AG12)</f>
        <v>47</v>
      </c>
      <c r="AH13" s="184">
        <f t="shared" si="7"/>
        <v>13</v>
      </c>
      <c r="AI13" s="184">
        <f t="shared" si="7"/>
        <v>11</v>
      </c>
      <c r="AJ13" s="184">
        <f t="shared" si="7"/>
        <v>49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1032</v>
      </c>
      <c r="AZ13" s="184">
        <f>SUBTOTAL(9,AZ8:AZ12)</f>
        <v>360</v>
      </c>
      <c r="BA13" s="184">
        <f>SUBTOTAL(9,BA8:BA12)</f>
        <v>149</v>
      </c>
      <c r="BB13" s="184">
        <f>SUBTOTAL(9,BB8:BB12)</f>
        <v>1243</v>
      </c>
      <c r="BC13" s="184">
        <f>SUBTOTAL(9,BC8:BC12)</f>
        <v>57</v>
      </c>
      <c r="BD13" s="205">
        <f>IF(ISNUMBER(BA13/AZ13),BA13/AZ13," - ")</f>
        <v>0.41388888888888886</v>
      </c>
      <c r="BE13" s="206">
        <f>IF(ISNUMBER(BB13/BA13),BB13/BA13, " - ")</f>
        <v>8.3422818791946316</v>
      </c>
      <c r="BF13" s="206">
        <f>IF(ISNUMBER(BC13/BA13),BC13/BA13, " - ")</f>
        <v>0.3825503355704698</v>
      </c>
      <c r="BG13" s="207">
        <f>IF(ISNUMBER((AY13+AZ13)/BA13),(AY13+AZ13)/BA13," - ")</f>
        <v>9.3422818791946316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316</v>
      </c>
      <c r="J16" s="183">
        <v>196</v>
      </c>
      <c r="K16" s="183">
        <v>120</v>
      </c>
      <c r="L16" s="183">
        <v>392</v>
      </c>
      <c r="M16" s="183">
        <v>20</v>
      </c>
      <c r="N16" s="183">
        <v>70</v>
      </c>
      <c r="O16" s="181">
        <v>0</v>
      </c>
      <c r="P16" s="183">
        <v>4</v>
      </c>
      <c r="Q16" s="183">
        <v>4</v>
      </c>
      <c r="R16" s="183">
        <v>45</v>
      </c>
      <c r="S16" s="183">
        <v>321</v>
      </c>
      <c r="T16" s="183">
        <v>246</v>
      </c>
      <c r="U16" s="183">
        <v>261</v>
      </c>
      <c r="V16" s="183">
        <v>306</v>
      </c>
      <c r="W16" s="183">
        <v>29</v>
      </c>
      <c r="X16" s="189">
        <v>159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321</v>
      </c>
      <c r="AZ16" s="127">
        <f t="shared" si="9"/>
        <v>246</v>
      </c>
      <c r="BA16" s="127">
        <f t="shared" si="9"/>
        <v>261</v>
      </c>
      <c r="BB16" s="127">
        <f t="shared" si="9"/>
        <v>306</v>
      </c>
      <c r="BC16" s="125">
        <f>IF(ISNUMBER(W16),W16," - ")</f>
        <v>29</v>
      </c>
      <c r="BD16" s="126">
        <f t="shared" ref="BD16" si="11">IF(ISNUMBER(BA16/AZ16),BA16/AZ16," - ")</f>
        <v>1.0609756097560976</v>
      </c>
      <c r="BE16" s="127">
        <f t="shared" ref="BE16" si="12">IF(ISNUMBER(BB16/BA16),BB16/BA16, " - ")</f>
        <v>1.1724137931034482</v>
      </c>
      <c r="BF16" s="127">
        <f t="shared" ref="BF16" si="13">IF(ISNUMBER(BC16/BA16),BC16/BA16, " - ")</f>
        <v>0.1111111111111111</v>
      </c>
      <c r="BG16" s="196">
        <f t="shared" si="10"/>
        <v>2.1724137931034484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27</v>
      </c>
      <c r="K17" s="183">
        <v>27</v>
      </c>
      <c r="L17" s="183">
        <v>26</v>
      </c>
      <c r="M17" s="183">
        <v>6</v>
      </c>
      <c r="N17" s="183">
        <v>12</v>
      </c>
      <c r="O17" s="183">
        <v>0</v>
      </c>
      <c r="P17" s="183">
        <v>1</v>
      </c>
      <c r="Q17" s="183">
        <v>2</v>
      </c>
      <c r="R17" s="183">
        <v>2</v>
      </c>
      <c r="S17" s="183">
        <v>13</v>
      </c>
      <c r="T17" s="183">
        <v>29</v>
      </c>
      <c r="U17" s="183">
        <v>23</v>
      </c>
      <c r="V17" s="183">
        <v>19</v>
      </c>
      <c r="W17" s="183">
        <v>6</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29</v>
      </c>
      <c r="BA17" s="129">
        <f t="shared" si="14"/>
        <v>23</v>
      </c>
      <c r="BB17" s="129">
        <f t="shared" si="14"/>
        <v>19</v>
      </c>
      <c r="BC17" s="125">
        <f>IF(ISNUMBER(W17),W17," - ")</f>
        <v>6</v>
      </c>
      <c r="BD17" s="126">
        <f>IF(ISNUMBER(BA17/AZ17),BA17/AZ17," - ")</f>
        <v>0.7931034482758621</v>
      </c>
      <c r="BE17" s="127">
        <f>IF(ISNUMBER(BB17/BA17),BB17/BA17, " - ")</f>
        <v>0.82608695652173914</v>
      </c>
      <c r="BF17" s="127">
        <f>IF(ISNUMBER(BC17/BA17),BC17/BA17, " - ")</f>
        <v>0.2608695652173913</v>
      </c>
      <c r="BG17" s="196">
        <f>IF(ISNUMBER((AY17+AZ17)/BA17),(AY17+AZ17)/BA17," - ")</f>
        <v>1.826086956521739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342</v>
      </c>
      <c r="J18" s="184">
        <f t="shared" si="15"/>
        <v>223</v>
      </c>
      <c r="K18" s="184">
        <f t="shared" si="15"/>
        <v>147</v>
      </c>
      <c r="L18" s="184">
        <f t="shared" si="15"/>
        <v>418</v>
      </c>
      <c r="M18" s="184">
        <f t="shared" si="15"/>
        <v>26</v>
      </c>
      <c r="N18" s="184">
        <f t="shared" si="15"/>
        <v>82</v>
      </c>
      <c r="O18" s="184">
        <f t="shared" si="15"/>
        <v>0</v>
      </c>
      <c r="P18" s="184">
        <f t="shared" si="15"/>
        <v>5</v>
      </c>
      <c r="Q18" s="184">
        <f t="shared" si="15"/>
        <v>6</v>
      </c>
      <c r="R18" s="184">
        <f t="shared" si="15"/>
        <v>47</v>
      </c>
      <c r="S18" s="184">
        <f t="shared" si="15"/>
        <v>334</v>
      </c>
      <c r="T18" s="184">
        <f t="shared" si="15"/>
        <v>275</v>
      </c>
      <c r="U18" s="184">
        <f t="shared" si="15"/>
        <v>284</v>
      </c>
      <c r="V18" s="184">
        <f t="shared" si="15"/>
        <v>325</v>
      </c>
      <c r="W18" s="184">
        <f t="shared" si="15"/>
        <v>35</v>
      </c>
      <c r="X18" s="184">
        <f t="shared" si="15"/>
        <v>175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334</v>
      </c>
      <c r="AZ18" s="184">
        <f>SUBTOTAL(9,AZ14:AZ17)</f>
        <v>275</v>
      </c>
      <c r="BA18" s="184">
        <f>SUBTOTAL(9,BA14:BA17)</f>
        <v>284</v>
      </c>
      <c r="BB18" s="184">
        <f>SUBTOTAL(9,BB14:BB17)</f>
        <v>325</v>
      </c>
      <c r="BC18" s="184">
        <f>SUBTOTAL(9,BC14:BC17)</f>
        <v>35</v>
      </c>
      <c r="BD18" s="205">
        <f>IF(ISNUMBER(BA18/AZ18),BA18/AZ18," - ")</f>
        <v>1.0327272727272727</v>
      </c>
      <c r="BE18" s="206">
        <f>IF(ISNUMBER(BB18/BA18),BB18/BA18, " - ")</f>
        <v>1.1443661971830985</v>
      </c>
      <c r="BF18" s="206">
        <f>IF(ISNUMBER(BC18/BA18),BC18/BA18, " - ")</f>
        <v>0.12323943661971831</v>
      </c>
      <c r="BG18" s="207">
        <f>IF(ISNUMBER((AY18+AZ18)/BA18),(AY18+AZ18)/BA18," - ")</f>
        <v>2.1443661971830985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1738</v>
      </c>
      <c r="J19" s="134">
        <f t="shared" si="18"/>
        <v>513</v>
      </c>
      <c r="K19" s="134">
        <f t="shared" si="18"/>
        <v>263</v>
      </c>
      <c r="L19" s="134">
        <f t="shared" si="18"/>
        <v>1988</v>
      </c>
      <c r="M19" s="134">
        <f t="shared" si="18"/>
        <v>59</v>
      </c>
      <c r="N19" s="134">
        <f t="shared" si="18"/>
        <v>144</v>
      </c>
      <c r="O19" s="134">
        <f t="shared" si="18"/>
        <v>55</v>
      </c>
      <c r="P19" s="134">
        <f t="shared" si="18"/>
        <v>64</v>
      </c>
      <c r="Q19" s="134">
        <f t="shared" si="18"/>
        <v>39</v>
      </c>
      <c r="R19" s="134">
        <f t="shared" si="18"/>
        <v>1175</v>
      </c>
      <c r="S19" s="134">
        <f t="shared" si="18"/>
        <v>1319</v>
      </c>
      <c r="T19" s="134">
        <f t="shared" si="18"/>
        <v>622</v>
      </c>
      <c r="U19" s="134">
        <f t="shared" si="18"/>
        <v>422</v>
      </c>
      <c r="V19" s="134">
        <f t="shared" si="18"/>
        <v>1519</v>
      </c>
      <c r="W19" s="134">
        <f t="shared" si="18"/>
        <v>71</v>
      </c>
      <c r="X19" s="134">
        <f t="shared" si="18"/>
        <v>231</v>
      </c>
      <c r="Y19" s="134">
        <f t="shared" si="18"/>
        <v>46</v>
      </c>
      <c r="Z19" s="134">
        <f t="shared" si="18"/>
        <v>10</v>
      </c>
      <c r="AA19" s="134">
        <f t="shared" si="18"/>
        <v>5</v>
      </c>
      <c r="AB19" s="134">
        <f t="shared" si="18"/>
        <v>51</v>
      </c>
      <c r="AC19" s="134">
        <f t="shared" si="18"/>
        <v>0</v>
      </c>
      <c r="AD19" s="134">
        <f t="shared" si="18"/>
        <v>0</v>
      </c>
      <c r="AE19" s="134">
        <f t="shared" si="18"/>
        <v>0</v>
      </c>
      <c r="AF19" s="134">
        <f t="shared" si="18"/>
        <v>0</v>
      </c>
      <c r="AG19" s="134">
        <f t="shared" si="18"/>
        <v>47</v>
      </c>
      <c r="AH19" s="134">
        <f t="shared" si="18"/>
        <v>13</v>
      </c>
      <c r="AI19" s="134">
        <f t="shared" si="18"/>
        <v>11</v>
      </c>
      <c r="AJ19" s="134">
        <f t="shared" si="18"/>
        <v>49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1366</v>
      </c>
      <c r="AZ19" s="134">
        <f>SUBTOTAL(9,AZ9:AZ18)</f>
        <v>635</v>
      </c>
      <c r="BA19" s="134">
        <f>SUBTOTAL(9,BA9:BA18)</f>
        <v>433</v>
      </c>
      <c r="BB19" s="134">
        <f>SUBTOTAL(9,BB9:BB18)</f>
        <v>1568</v>
      </c>
      <c r="BC19" s="135">
        <f>SUBTOTAL(9,BC9:BC18)</f>
        <v>92</v>
      </c>
      <c r="BD19" s="213">
        <f>IF(ISNUMBER(BA19/AZ19),BA19/AZ19," - ")</f>
        <v>0.68188976377952759</v>
      </c>
      <c r="BE19" s="210">
        <f>IF(ISNUMBER(BB19/BA19),BB19/BA19, " - ")</f>
        <v>3.6212471131639723</v>
      </c>
      <c r="BF19" s="210">
        <f>IF(ISNUMBER(BC19/BA19),BC19/BA19, " - ")</f>
        <v>0.21247113163972287</v>
      </c>
      <c r="BG19" s="135">
        <f>IF(ISNUMBER((AY19+AZ19)/BA19),(AY19+AZ19)/BA19," - ")</f>
        <v>4.6212471131639719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aSbvM+VYlDnLb3HePyqOCOZFZKFBAvSeUuxm04Atzl3axseIpPQAcjATFkQV9HaM6fPqs627+HCiiap0l83A==" saltValue="QL0fZHFZ9uCfpAfE+CAK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gs+yGkw/lPP6Oy8ZmOMe1hamTcCvQJ6wTS852hS2okT9en0lKJT3yd+v792Px0qr/ueE1Sclm7nAhendXZA==" saltValue="rX8EPNKiCAHh2YBoHPji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11.333333333333334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1127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v>
      </c>
      <c r="BD12" s="229">
        <f>IF(ISNUMBER(Datos!N12),Datos!N12," - ")</f>
        <v>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v>
      </c>
      <c r="BH12" s="260">
        <f>IF(ISNUMBER(((IF(J_V="SI",Datos!L12/Datos!K12,(Datos!L12+Datos!AB12)/(Datos!K12+Datos!AA12)))*11)/factor_trimestre),((IF(J_V="SI",Datos!L12/Datos!K12,(Datos!L12+Datos!AB12)/(Datos!K12+Datos!AA12)))*11)/factor_trimestre," - ")</f>
        <v>27.186440677966104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2.3614895549500452E-2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33</v>
      </c>
      <c r="AD13" s="899">
        <f t="shared" si="1"/>
        <v>0</v>
      </c>
      <c r="AE13" s="899">
        <f t="shared" si="1"/>
        <v>0</v>
      </c>
      <c r="AF13" s="899">
        <f t="shared" si="1"/>
        <v>17</v>
      </c>
      <c r="AG13" s="899">
        <f t="shared" si="1"/>
        <v>0</v>
      </c>
      <c r="AH13" s="899">
        <f t="shared" si="1"/>
        <v>51</v>
      </c>
      <c r="AI13" s="899">
        <f t="shared" si="1"/>
        <v>0</v>
      </c>
      <c r="AJ13" s="899">
        <f t="shared" si="1"/>
        <v>0</v>
      </c>
      <c r="AK13" s="899">
        <f t="shared" si="1"/>
        <v>0</v>
      </c>
      <c r="AL13" s="899">
        <f t="shared" si="1"/>
        <v>0</v>
      </c>
      <c r="AM13" s="899">
        <f t="shared" si="1"/>
        <v>1128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v>
      </c>
      <c r="BD13" s="899">
        <f t="shared" si="1"/>
        <v>62</v>
      </c>
      <c r="BE13" s="899">
        <f t="shared" si="1"/>
        <v>0</v>
      </c>
      <c r="BF13" s="899">
        <f t="shared" si="1"/>
        <v>0</v>
      </c>
      <c r="BG13" s="899">
        <f>IF(ISNUMBER(Datos!K13/Datos!J13),Datos!K13/Datos!J13," - ")</f>
        <v>0.4</v>
      </c>
      <c r="BH13" s="903">
        <f>IF(ISNUMBER(((Datos!L13/Datos!K13)*11)/factor_trimestre),((Datos!L13/Datos!K13)*11)/factor_trimestre," - ")</f>
        <v>27.068965517241381</v>
      </c>
      <c r="BI13" s="899">
        <f>IF(ISNUMBER('Resol  Asuntos'!D13/NºAsuntos!G13),'Resol  Asuntos'!D13/NºAsuntos!G13," - ")</f>
        <v>0.27272727272727271</v>
      </c>
      <c r="BJ13" s="899" t="str">
        <f>IF(ISNUMBER(Datos!CI13/Datos!CJ13),Datos!CI13/Datos!CJ13," - ")</f>
        <v xml:space="preserve"> - </v>
      </c>
      <c r="BK13" s="899">
        <f>SUBTOTAL(9,BK8:BK12)</f>
        <v>0</v>
      </c>
      <c r="BL13" s="899">
        <f>IF(ISNUMBER((I13-AB13+L13)/(F13)),(I13-AB13+L13)/(F13)," - ")</f>
        <v>-0.2</v>
      </c>
      <c r="BM13" s="904">
        <f>SUBTOTAL(9,BM9:BM12)</f>
        <v>2.3614895549500452E-2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316</v>
      </c>
      <c r="G16" s="598">
        <f>IF(ISNUMBER(IF(D_I="SI",Datos!I16,Datos!I16+Datos!AC16)),IF(D_I="SI",Datos!I16,Datos!I16+Datos!AC16)," - ")</f>
        <v>316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v>
      </c>
      <c r="AC16" s="226">
        <f>IF(ISNUMBER(Datos!Q16),Datos!Q16," - ")</f>
        <v>4</v>
      </c>
      <c r="AD16" s="334"/>
      <c r="AE16" s="484"/>
      <c r="AF16" s="596">
        <f>IF(ISNUMBER(IF(D_I="SI",Datos!L16,Datos!L16+Datos!AF16)),IF(D_I="SI",Datos!L16,Datos!L16+Datos!AF16)," - ")</f>
        <v>392</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0.61224489795918369</v>
      </c>
      <c r="BH16" s="260">
        <f>IF(ISNUMBER(((IF(D_I="SI",Datos!L16/Datos!K16,(Datos!L16+Datos!AF16)/(Datos!K16+Datos!AE16)))*11)/factor_trimestre),((IF(D_I="SI",Datos!L16/Datos!K16,(Datos!L16+Datos!AF16)/(Datos!K16+Datos!AE16)))*11)/factor_trimestre," - ")</f>
        <v>6.5333333333333323</v>
      </c>
      <c r="BI16" s="243">
        <f>IF(ISNUMBER('Resol  Asuntos'!D16/NºAsuntos!G16),'Resol  Asuntos'!D16/NºAsuntos!G16," - ")</f>
        <v>0.16666666666666666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2</v>
      </c>
      <c r="AD17" s="334"/>
      <c r="AE17" s="484"/>
      <c r="AF17" s="332">
        <f>IF(ISNUMBER(Datos!L17),Datos!L17,"-")</f>
        <v>26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1.9259259259259258</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316</v>
      </c>
      <c r="G18" s="898">
        <f>SUBTOTAL(9,G15:G17)</f>
        <v>342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v>
      </c>
      <c r="AC18" s="899">
        <f t="shared" si="4"/>
        <v>6</v>
      </c>
      <c r="AD18" s="899">
        <f t="shared" si="4"/>
        <v>0</v>
      </c>
      <c r="AE18" s="899">
        <f t="shared" si="4"/>
        <v>0</v>
      </c>
      <c r="AF18" s="899">
        <f t="shared" si="4"/>
        <v>418</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82</v>
      </c>
      <c r="BE18" s="899">
        <f t="shared" si="4"/>
        <v>0</v>
      </c>
      <c r="BF18" s="899">
        <f t="shared" si="4"/>
        <v>0</v>
      </c>
      <c r="BG18" s="899">
        <f>IF(ISNUMBER(Datos!K18/Datos!J18),Datos!K18/Datos!J18," - ")</f>
        <v>0.65919282511210764</v>
      </c>
      <c r="BH18" s="903">
        <f>IF(ISNUMBER(((Datos!L18/Datos!K18)*11)/factor_trimestre),((Datos!L18/Datos!K18)*11)/factor_trimestre," - ")</f>
        <v>5.6870748299319729</v>
      </c>
      <c r="BI18" s="899">
        <f>SUBTOTAL(9,BI15:BI17)</f>
        <v>0.38888888888888884</v>
      </c>
      <c r="BJ18" s="899">
        <f>SUBTOTAL(9,BJ15:BJ17)</f>
        <v>0</v>
      </c>
      <c r="BK18" s="899">
        <f>SUBTOTAL(9,BK15:BK17)</f>
        <v>0</v>
      </c>
      <c r="BL18" s="899">
        <f>IF(ISNUMBER((I18-AB18+L18)/(F18)),(I18-AB18+L18)/(F18)," - ")</f>
        <v>-0.4651898734177215</v>
      </c>
      <c r="BM18" s="905">
        <f>IF(ISNUMBER((Datos!P18-Datos!Q18)/(Datos!R18-Datos!P18+Datos!Q18)),(Datos!P18-Datos!Q18)/(Datos!R18-Datos!P18+Datos!Q18)," - ")</f>
        <v>-2.0833333333333332E-2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331</v>
      </c>
      <c r="G19" s="820">
        <f t="shared" si="6"/>
        <v>357</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150</v>
      </c>
      <c r="AC19" s="821">
        <f t="shared" si="7"/>
        <v>39</v>
      </c>
      <c r="AD19" s="821">
        <f t="shared" si="7"/>
        <v>0</v>
      </c>
      <c r="AE19" s="821">
        <f t="shared" si="7"/>
        <v>0</v>
      </c>
      <c r="AF19" s="828">
        <f t="shared" si="7"/>
        <v>435</v>
      </c>
      <c r="AG19" s="828">
        <f t="shared" si="7"/>
        <v>0</v>
      </c>
      <c r="AH19" s="828">
        <f t="shared" si="7"/>
        <v>51</v>
      </c>
      <c r="AI19" s="828">
        <f t="shared" si="7"/>
        <v>0</v>
      </c>
      <c r="AJ19" s="821">
        <f t="shared" si="7"/>
        <v>0</v>
      </c>
      <c r="AK19" s="828">
        <f t="shared" si="7"/>
        <v>0</v>
      </c>
      <c r="AL19" s="828">
        <f t="shared" si="7"/>
        <v>0</v>
      </c>
      <c r="AM19" s="828">
        <f t="shared" si="7"/>
        <v>1175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v>
      </c>
      <c r="BD19" s="820">
        <f t="shared" si="7"/>
        <v>144</v>
      </c>
      <c r="BE19" s="820">
        <f t="shared" si="7"/>
        <v>0</v>
      </c>
      <c r="BF19" s="830">
        <f t="shared" si="7"/>
        <v>0</v>
      </c>
      <c r="BG19" s="915">
        <f>IF(ISNUMBER(Datos!K19/Datos!J19),Datos!K19/Datos!J19," - ")</f>
        <v>0.51267056530214428</v>
      </c>
      <c r="BH19" s="915">
        <f>IF(ISNUMBER(((Datos!L19/Datos!K19)*11)/factor_trimestre),((Datos!L19/Datos!K19)*11)/factor_trimestre," - ")</f>
        <v>15.117870722433459</v>
      </c>
      <c r="BI19" s="813">
        <f>IF(ISNUMBER(Datos!J19/Datos!I19),Datos!J19/Datos!I19," - ")</f>
        <v>0.29516685845799767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-0.45317220543806647</v>
      </c>
      <c r="BM19" s="889">
        <f>IF(ISNUMBER((Datos!P19-Datos!Q19+R19)/(Datos!R19-Datos!P19+Datos!Q19-R19)),(Datos!P19-Datos!Q19+R19)/(Datos!R19-Datos!P19+Datos!Q19-R19)," - ")</f>
        <v>2.1739130434782608E-2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173.78243102607735</v>
      </c>
      <c r="G21" s="552">
        <f>IF(ISNUMBER(STDEV(G8:G18)),STDEV(G8:G18),"-")</f>
        <v>170.28417424998719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68.47627326307996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12.564500255349063</v>
      </c>
      <c r="BD21" s="551"/>
      <c r="BE21" s="551">
        <f>IF(ISNUMBER(STDEV(BE8:BE18)),STDEV(BE8:BE18),"-")</f>
        <v>0</v>
      </c>
      <c r="BF21" s="556">
        <f>IF(ISNUMBER(STDEV(BF8:BF18)),STDEV(BF8:BF18),"-")</f>
        <v>0</v>
      </c>
      <c r="BG21" s="775">
        <f>IF(ISNUMBER(STDEV(BG8:BG18)),STDEV(BG8:BG18),"-")</f>
        <v>0.22036477487317035</v>
      </c>
      <c r="BH21" s="776">
        <f>IF(ISNUMBER(STDEV(BH8:BH18)),STDEV(BH8:BH18),"-")</f>
        <v>11.130127490628931</v>
      </c>
      <c r="BI21" s="249">
        <f>IF(ISNUMBER(STDEV(BI8:BI18)),STDEV(BI8:BI18),"-")</f>
        <v>9.4666100468077718E-2</v>
      </c>
      <c r="BJ21" s="230" t="str">
        <f>IF(ISNUMBER(BL21/BM21),BL21/BM21," - ")</f>
        <v xml:space="preserve"> - </v>
      </c>
      <c r="BK21" s="575"/>
      <c r="BL21" s="559">
        <f>IF(ISNUMBER(STDEV(BL8:BL18)),STDEV(BL8:BL18),"-")</f>
        <v>0.18751755779567306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HGHYc2/cHxcISznKNYpBig+p+kazMXwjsJMfgZ83w6nwcKI6Kxc1x/I183Y5r3Cyw5nQjohP/Vve2vw0zRQhQ==" saltValue="QPoKrm6rFGtTkwHR+RrD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OLIVENZA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11.333333333333334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1127</v>
      </c>
      <c r="AF12" s="229" t="str">
        <f>IF(ISNUMBER(Datos!BV12),Datos!BV12," - ")</f>
        <v xml:space="preserve"> - </v>
      </c>
      <c r="AG12" s="225" t="str">
        <f>IF(ISNUMBER(Datos!DV12),Datos!DV12," - ")</f>
        <v xml:space="preserve"> - </v>
      </c>
      <c r="AH12" s="298"/>
      <c r="AI12" s="227"/>
      <c r="AJ12" s="225">
        <f>IF(ISNUMBER(Datos!M12),Datos!M12," - ")</f>
        <v>30</v>
      </c>
      <c r="AK12" s="229">
        <f>IF(ISNUMBER(Datos!N12),Datos!N12," - ")</f>
        <v>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27.186440677966104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2.3614895549500452E-2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33</v>
      </c>
      <c r="AA13" s="900">
        <f t="shared" si="2"/>
        <v>17</v>
      </c>
      <c r="AB13" s="900">
        <f t="shared" si="2"/>
        <v>0</v>
      </c>
      <c r="AC13" s="900">
        <f t="shared" si="2"/>
        <v>0</v>
      </c>
      <c r="AD13" s="900">
        <f t="shared" si="2"/>
        <v>0</v>
      </c>
      <c r="AE13" s="900">
        <f t="shared" si="2"/>
        <v>1128</v>
      </c>
      <c r="AF13" s="908">
        <f t="shared" si="2"/>
        <v>0</v>
      </c>
      <c r="AG13" s="908">
        <f t="shared" si="2"/>
        <v>0</v>
      </c>
      <c r="AH13" s="908">
        <f t="shared" si="2"/>
        <v>0</v>
      </c>
      <c r="AI13" s="908">
        <f t="shared" si="2"/>
        <v>0</v>
      </c>
      <c r="AJ13" s="908">
        <f t="shared" si="2"/>
        <v>33</v>
      </c>
      <c r="AK13" s="908">
        <f t="shared" si="2"/>
        <v>62</v>
      </c>
      <c r="AL13" s="908">
        <f t="shared" si="2"/>
        <v>0</v>
      </c>
      <c r="AM13" s="908">
        <f t="shared" si="2"/>
        <v>0</v>
      </c>
      <c r="AN13" s="908">
        <f t="shared" si="2"/>
        <v>0</v>
      </c>
      <c r="AO13" s="904">
        <f>IF(ISNUMBER(((NºAsuntos!I13/NºAsuntos!G13)*11)/factor_trimestre),((NºAsuntos!I13/NºAsuntos!G13)*11)/factor_trimestre," - ")</f>
        <v>26.793388429752067</v>
      </c>
      <c r="AP13" s="910" t="str">
        <f>IF(ISNUMBER(Datos!CI13/Datos!CJ13),Datos!CI13/Datos!CJ13," - ")</f>
        <v xml:space="preserve"> - </v>
      </c>
      <c r="AQ13" s="928">
        <f t="shared" ref="AQ13:AV13" si="3">SUBTOTAL(9,AQ9:AQ12)</f>
        <v>0</v>
      </c>
      <c r="AR13" s="928">
        <f t="shared" si="3"/>
        <v>2.3614895549500452E-2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316</v>
      </c>
      <c r="G16" s="225">
        <f>IF(ISNUMBER(IF(D_I="SI",Datos!I16,Datos!I16+Datos!AC16)),IF(D_I="SI",Datos!I16,Datos!I16+Datos!AC16)," - ")</f>
        <v>316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v>
      </c>
      <c r="Z16" s="619">
        <f>IF(ISNUMBER(Datos!Q16),Datos!Q16," - ")</f>
        <v>4</v>
      </c>
      <c r="AA16" s="332">
        <f>IF(ISNUMBER(IF(D_I="SI",Datos!L16,Datos!L16+Datos!AF16)),IF(D_I="SI",Datos!L16,Datos!L16+Datos!AF16)," - ")</f>
        <v>392</v>
      </c>
      <c r="AB16" s="334"/>
      <c r="AC16" s="334"/>
      <c r="AD16" s="484"/>
      <c r="AE16" s="484">
        <f>IF(ISNUMBER(Datos!R16),Datos!R16," - ")</f>
        <v>45</v>
      </c>
      <c r="AF16" s="229" t="str">
        <f>IF(ISNUMBER(Datos!BV16),Datos!BV16," - ")</f>
        <v xml:space="preserve"> - </v>
      </c>
      <c r="AG16" s="225"/>
      <c r="AH16" s="298"/>
      <c r="AI16" s="227"/>
      <c r="AJ16" s="225">
        <f>IF(ISNUMBER(Datos!M16),Datos!M16," - ")</f>
        <v>20</v>
      </c>
      <c r="AK16" s="229">
        <f>IF(ISNUMBER(Datos!N16),Datos!N16," - ")</f>
        <v>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6.5333333333333323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2</v>
      </c>
      <c r="AA17" s="332">
        <f>IF(ISNUMBER(Datos!L17),Datos!L17,"-")</f>
        <v>26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6</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1.9259259259259258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316</v>
      </c>
      <c r="G18" s="898">
        <f>SUBTOTAL(9,G15:G17)</f>
        <v>342</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v>
      </c>
      <c r="Z18" s="932">
        <f t="shared" si="5"/>
        <v>6</v>
      </c>
      <c r="AA18" s="932">
        <f t="shared" si="5"/>
        <v>418</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26</v>
      </c>
      <c r="AK18" s="932">
        <f t="shared" si="5"/>
        <v>82</v>
      </c>
      <c r="AL18" s="932">
        <f t="shared" si="5"/>
        <v>0</v>
      </c>
      <c r="AM18" s="932">
        <f t="shared" si="5"/>
        <v>0</v>
      </c>
      <c r="AN18" s="932">
        <f t="shared" si="5"/>
        <v>0</v>
      </c>
      <c r="AO18" s="934">
        <f>IF(ISNUMBER(((NºAsuntos!I18/NºAsuntos!G18)*11)/factor_trimestre),((NºAsuntos!I18/NºAsuntos!G18)*11)/factor_trimestre," - ")</f>
        <v>5.6870748299319729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331</v>
      </c>
      <c r="G19" s="820">
        <f t="shared" si="7"/>
        <v>357</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150</v>
      </c>
      <c r="Z19" s="827">
        <f t="shared" si="8"/>
        <v>39</v>
      </c>
      <c r="AA19" s="828">
        <f t="shared" si="8"/>
        <v>435</v>
      </c>
      <c r="AB19" s="828">
        <f t="shared" si="8"/>
        <v>0</v>
      </c>
      <c r="AC19" s="828">
        <f t="shared" si="8"/>
        <v>0</v>
      </c>
      <c r="AD19" s="829">
        <f t="shared" si="8"/>
        <v>0</v>
      </c>
      <c r="AE19" s="829">
        <f t="shared" si="8"/>
        <v>1175</v>
      </c>
      <c r="AF19" s="830">
        <f t="shared" si="8"/>
        <v>0</v>
      </c>
      <c r="AG19" s="831">
        <f t="shared" si="8"/>
        <v>0</v>
      </c>
      <c r="AH19" s="832">
        <f t="shared" si="8"/>
        <v>0</v>
      </c>
      <c r="AI19" s="830">
        <f t="shared" si="8"/>
        <v>0</v>
      </c>
      <c r="AJ19" s="820">
        <f t="shared" si="8"/>
        <v>59</v>
      </c>
      <c r="AK19" s="820">
        <f t="shared" si="8"/>
        <v>144</v>
      </c>
      <c r="AL19" s="820">
        <f t="shared" si="8"/>
        <v>0</v>
      </c>
      <c r="AM19" s="833">
        <f t="shared" si="8"/>
        <v>0</v>
      </c>
      <c r="AN19" s="823">
        <f>IF(ISNUMBER(Datos!K19/Datos!J19),Datos!K19/Datos!J19," - ")</f>
        <v>0.51267056530214428</v>
      </c>
      <c r="AO19" s="823">
        <f>IF(ISNUMBER(FIND("06",Criterios!A8,1)),(IF(ISNUMBER(((Datos!R19/Datos!Q19)*11)/factor_trimestre),((Datos!R19/Datos!Q19)*11)/factor_trimestre," - ")),(IF(ISNUMBER(((Datos!L19/Datos!K19)*11)/factor_trimestre),((Datos!L19/Datos!K19)*11)/factor_trimestre," - ")))</f>
        <v>15.117870722433459</v>
      </c>
      <c r="AP19" s="834" t="str">
        <f>IF(ISNUMBER(Datos!CI19/Datos!CJ19),Datos!CI19/Datos!CJ19," - ")</f>
        <v xml:space="preserve"> - </v>
      </c>
      <c r="AQ19" s="834">
        <f>IF(OR(ISNUMBER(FIND("01",Criterios!A8,1)),ISNUMBER(FIND("02",Criterios!A8,1)),ISNUMBER(FIND("03",Criterios!A8,1)),ISNUMBER(FIND("04",Criterios!A8,1))),(J19-Y19+K19)/(F19-K19),(I19-Y19+K19)/(F19-K19))</f>
        <v>-0.45317220543806647</v>
      </c>
      <c r="AR19" s="834">
        <f>IF(ISNUMBER((Datos!P19-Datos!Q19+O19)/(Datos!R19-Datos!P19+Datos!Q19-O19)),(Datos!P19-Datos!Q19+O19)/(Datos!R19-Datos!P19+Datos!Q19-O19)," - ")</f>
        <v>2.1739130434782608E-2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173.78243102607735</v>
      </c>
      <c r="G21" s="552">
        <f>IF(ISNUMBER(STDEV(G8:G18)),STDEV(G8:G18),"-")</f>
        <v>170.28417424998719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12.564500255349063</v>
      </c>
      <c r="AK21" s="252"/>
      <c r="AL21" s="252">
        <f>IF(ISNUMBER(STDEV(AL8:AL18)),STDEV(AL8:AL18),"-")</f>
        <v>0</v>
      </c>
      <c r="AM21" s="254">
        <f>IF(ISNUMBER(STDEV(AM8:AM18)),STDEV(AM8:AM18),"-")</f>
        <v>0</v>
      </c>
      <c r="AN21" s="539">
        <f>IF(ISNUMBER(STDEV(AN8:AN18)),STDEV(AN8:AN18),"-")</f>
        <v>0</v>
      </c>
      <c r="AO21" s="540">
        <f>IF(ISNUMBER(STDEV(AO8:AO18)),STDEV(AO8:AO18),"-")</f>
        <v>11.062252831075178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8WXqMin21m8kAaCirSMew7Qor1DGOBp0on7jkaZD7LrIUP49iFH98lxxJUozh2Jv4gIGyZs9aZo5duyoQ8udg==" saltValue="wKS953nzwGNE5aGDTE7w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ca76WGRLI54Pp5uQN2OZQpetDM3K8dCrF8U/DVn54kT4FtMhcDf4S17l/FaD5HeBzDcpGSAdcZajABNemw7UQ==" saltValue="W0LQnd5VTIAmaKUZHpvQ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e70Tdgp2xRqPrlQO8sKvU48k51z04xCpjOMgzsD8jM2PKUVcI3z/LoA32yOCM8SifIzU7sftL4Yq+NSiUb8A==" saltValue="jKBp6T49QH7yqk9CRpEK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0.27272727272727271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0.19284730395996749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O2+7vnXuUqZchr5f1x06MP2VN175hmbXoZUpO+EmLKOiKxnGFvaKDh58ra6Gmr+Az/mNCvly379RQriDSdpXw==" saltValue="nuiROLPlVMk243rGbq3Y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6vNHiOq7znY3HLpeZYMn09RT+hwp3QOQZFT8NigYKtfpai40suM+mDLbFzAPK/sKtd361f8ylkEuH+wBmeTtA==" saltValue="SU4yQl+kpWbpDD/8t5Jd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OLIVENZA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5</v>
      </c>
      <c r="F10" s="404">
        <f>IF(ISNUMBER(E10/B10),E10/B10," - ")</f>
        <v>5</v>
      </c>
      <c r="G10" s="403">
        <f>IF(ISNUMBER(Datos!K10),Datos!K10," - ")</f>
        <v>3</v>
      </c>
      <c r="H10" s="404">
        <f>IF(ISNUMBER(G10/B10),G10/B10," - ")</f>
        <v>3</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1427</v>
      </c>
      <c r="D12" s="404">
        <f>IF(ISNUMBER(C12/Datos!BH12),C12/Datos!BH12," - ")</f>
        <v>1427</v>
      </c>
      <c r="E12" s="403">
        <f>IF(ISNUMBER(IF(J_V="SI",Datos!J12,Datos!J12+Datos!Z12)),IF(J_V="SI",Datos!J12,Datos!J12+Datos!Z12)," - ")</f>
        <v>295</v>
      </c>
      <c r="F12" s="404">
        <f>IF(ISNUMBER(E12/B12),E12/B12," - ")</f>
        <v>295</v>
      </c>
      <c r="G12" s="403">
        <f>IF(ISNUMBER(IF(J_V="SI",Datos!K12,Datos!K12+Datos!AA12)),IF(J_V="SI",Datos!K12,Datos!K12+Datos!AA12)," - ")</f>
        <v>118</v>
      </c>
      <c r="H12" s="404">
        <f>IF(ISNUMBER(G12/B12),G12/B12," - ")</f>
        <v>118</v>
      </c>
      <c r="I12" s="403">
        <f>IF(ISNUMBER(IF(J_V="SI",Datos!L12,Datos!L12+Datos!AB12)),IF(J_V="SI",Datos!L12,Datos!L12+Datos!AB12)," - ")</f>
        <v>1604</v>
      </c>
      <c r="J12" s="404">
        <f>IF(ISNUMBER(I12/B12),I12/B12," - ")</f>
        <v>1604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1442</v>
      </c>
      <c r="D13" s="850" t="str">
        <f>IF(ISNUMBER(C13/Datos!BI13),C13/Datos!BI13," - ")</f>
        <v xml:space="preserve"> - </v>
      </c>
      <c r="E13" s="849">
        <f>SUBTOTAL(9,E8:E12)</f>
        <v>300</v>
      </c>
      <c r="F13" s="850">
        <f>IF(ISNUMBER(E13/B13),E13/B13," - ")</f>
        <v>300</v>
      </c>
      <c r="G13" s="849">
        <f>SUBTOTAL(9,G8:G12)</f>
        <v>121</v>
      </c>
      <c r="H13" s="850">
        <f>IF(ISNUMBER(G13/B13),G13/B13," - ")</f>
        <v>121</v>
      </c>
      <c r="I13" s="849">
        <f>SUBTOTAL(9,I8:I12)</f>
        <v>1621</v>
      </c>
      <c r="J13" s="850">
        <f>IF(ISNUMBER(I13/B13),I13/B13," - ")</f>
        <v>1621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316</v>
      </c>
      <c r="D16" s="404">
        <f>IF(ISNUMBER(C16/Datos!BH16),C16/Datos!BH16," - ")</f>
        <v>316</v>
      </c>
      <c r="E16" s="403">
        <f>IF(ISNUMBER(IF(D_I="SI",Datos!J16,Datos!J16+Datos!AD16)),IF(D_I="SI",Datos!J16,Datos!J16+Datos!AD16)," - ")</f>
        <v>196</v>
      </c>
      <c r="F16" s="404">
        <f>IF(ISNUMBER(E16/B16),E16/B16," - ")</f>
        <v>196</v>
      </c>
      <c r="G16" s="403">
        <f>IF(ISNUMBER(IF(D_I="SI",Datos!K16,Datos!K16+Datos!AE16)),IF(D_I="SI",Datos!K16,Datos!K16+Datos!AE16)," - ")</f>
        <v>120</v>
      </c>
      <c r="H16" s="404">
        <f>IF(ISNUMBER(G16/B16),G16/B16," - ")</f>
        <v>120</v>
      </c>
      <c r="I16" s="403">
        <f>IF(ISNUMBER(IF(D_I="SI",Datos!L16,Datos!L16+Datos!AF16)),IF(D_I="SI",Datos!L16,Datos!L16+Datos!AF16)," - ")</f>
        <v>392</v>
      </c>
      <c r="J16" s="404">
        <f>IF(ISNUMBER(I16/B16),I16/B16," - ")</f>
        <v>392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27</v>
      </c>
      <c r="F17" s="404">
        <f>IF(ISNUMBER(E17/B17),E17/B17," - ")</f>
        <v>27</v>
      </c>
      <c r="G17" s="403">
        <f>IF(ISNUMBER(IF(D_I="SI",Datos!K17,Datos!K17+Datos!AE17)),IF(D_I="SI",Datos!K17,Datos!K17+Datos!AE17)," - ")</f>
        <v>27</v>
      </c>
      <c r="H17" s="404">
        <f>IF(ISNUMBER(G17/B17),G17/B17," - ")</f>
        <v>27</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342</v>
      </c>
      <c r="D18" s="850" t="str">
        <f>IF(ISNUMBER(C18/Datos!BI18),C18/Datos!BI18," - ")</f>
        <v xml:space="preserve"> - </v>
      </c>
      <c r="E18" s="849">
        <f>SUBTOTAL(9,E14:E17)</f>
        <v>223</v>
      </c>
      <c r="F18" s="850">
        <f>IF(ISNUMBER(E18/B18),E18/B18," - ")</f>
        <v>223</v>
      </c>
      <c r="G18" s="849">
        <f>SUBTOTAL(9,G14:G17)</f>
        <v>147</v>
      </c>
      <c r="H18" s="850">
        <f>IF(ISNUMBER(G18/B18),G18/B18," - ")</f>
        <v>147</v>
      </c>
      <c r="I18" s="849">
        <f>SUBTOTAL(9,I14:I17)</f>
        <v>418</v>
      </c>
      <c r="J18" s="850">
        <f>IF(ISNUMBER(I18/B18),I18/B18," - ")</f>
        <v>418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1784</v>
      </c>
      <c r="D19" s="795" t="str">
        <f>IF(ISNUMBER(C19/Datos!BI19),C19/Datos!BI19," - ")</f>
        <v xml:space="preserve"> - </v>
      </c>
      <c r="E19" s="794">
        <f>SUBTOTAL(9,E9:E18)</f>
        <v>523</v>
      </c>
      <c r="F19" s="795">
        <f>IF(ISNUMBER(E19/B19),E19/B19," - ")</f>
        <v>523</v>
      </c>
      <c r="G19" s="794">
        <f>SUBTOTAL(9,G9:G18)</f>
        <v>268</v>
      </c>
      <c r="H19" s="795">
        <f>IF(ISNUMBER(G19/B19),G19/B19," - ")</f>
        <v>268</v>
      </c>
      <c r="I19" s="794">
        <f>SUBTOTAL(9,I9:I18)</f>
        <v>2039</v>
      </c>
      <c r="J19" s="795">
        <f>IF(ISNUMBER(I19/B19),I19/B19," - ")</f>
        <v>2039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WGq7lvmpGIVl/Uc7FzJD31ILTac++4wc/J1AzqhO1uZJMH+AH6nnvOBoWtXRIyuDJes8z5k+e8hYynVdEssRg==" saltValue="2TWz7dM1M8jw8xY1K5LL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OLIVENZA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11.333333333333334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v>
      </c>
      <c r="AM12" s="690">
        <f>IF(ISNUMBER(Datos!N12+DatosP!N16),Datos!N12+DatosP!N16," - ")</f>
        <v>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27.186440677966104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2.3614895549500452E-2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33</v>
      </c>
      <c r="AE13" s="939">
        <f t="shared" si="1"/>
        <v>0</v>
      </c>
      <c r="AF13" s="939">
        <f t="shared" si="1"/>
        <v>17</v>
      </c>
      <c r="AG13" s="939">
        <f t="shared" si="1"/>
        <v>0</v>
      </c>
      <c r="AH13" s="939">
        <f t="shared" si="1"/>
        <v>1127</v>
      </c>
      <c r="AI13" s="939">
        <f t="shared" si="1"/>
        <v>0</v>
      </c>
      <c r="AJ13" s="939">
        <f t="shared" si="1"/>
        <v>0</v>
      </c>
      <c r="AK13" s="939">
        <f t="shared" si="1"/>
        <v>0</v>
      </c>
      <c r="AL13" s="939">
        <f t="shared" si="1"/>
        <v>33</v>
      </c>
      <c r="AM13" s="939">
        <f t="shared" si="1"/>
        <v>62</v>
      </c>
      <c r="AN13" s="939">
        <f t="shared" si="1"/>
        <v>0</v>
      </c>
      <c r="AO13" s="939">
        <f t="shared" si="1"/>
        <v>0</v>
      </c>
      <c r="AP13" s="944">
        <f>IF(ISNUMBER(((Datos!L13/Datos!K13)*11)/factor_trimestre),((Datos!L13/Datos!K13)*11)/factor_trimestre," - ")</f>
        <v>27.068965517241381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2.3614895549500452E-2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5.6870748299319729</v>
      </c>
      <c r="AQ18" s="944">
        <f>IF(ISNUMBER(((Datos!M18/Datos!L18)*11)/factor_trimestre),((Datos!M18/Datos!L18)*11)/factor_trimestre," - ")</f>
        <v>0.12440191387559808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-2.0833333333333332E-2</v>
      </c>
      <c r="AW18" s="946">
        <f>IF(ISNUMBER((Datos!Q18-Datos!R18)/(Datos!S18-Datos!Q18+Datos!R18)),(Datos!Q18-Datos!R18)/(Datos!S18-Datos!Q18+Datos!R18)," - ")</f>
        <v>-0.10933333333333334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33</v>
      </c>
      <c r="AE19" s="957">
        <f t="shared" si="5"/>
        <v>0</v>
      </c>
      <c r="AF19" s="958">
        <f t="shared" si="5"/>
        <v>17</v>
      </c>
      <c r="AG19" s="958">
        <f t="shared" si="5"/>
        <v>0</v>
      </c>
      <c r="AH19" s="958">
        <f t="shared" si="5"/>
        <v>1127</v>
      </c>
      <c r="AI19" s="958">
        <f t="shared" si="5"/>
        <v>0</v>
      </c>
      <c r="AJ19" s="959">
        <f t="shared" si="5"/>
        <v>0</v>
      </c>
      <c r="AK19" s="959">
        <f t="shared" si="5"/>
        <v>0</v>
      </c>
      <c r="AL19" s="951">
        <f t="shared" si="5"/>
        <v>33</v>
      </c>
      <c r="AM19" s="951">
        <f t="shared" si="5"/>
        <v>62</v>
      </c>
      <c r="AN19" s="951">
        <f t="shared" si="5"/>
        <v>0</v>
      </c>
      <c r="AO19" s="951">
        <f t="shared" si="5"/>
        <v>0</v>
      </c>
      <c r="AP19" s="951">
        <f>IF(ISNUMBER(((Datos!L19/Datos!K19)*11)/factor_trimestre),((Datos!L19/Datos!K19)*11)/factor_trimestre," - ")</f>
        <v>15.117870722433459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2.1739130434782608E-2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17.406895185529212</v>
      </c>
      <c r="AM21" s="736"/>
      <c r="AN21" s="736">
        <f>IF(ISNUMBER(STDEV(AN8:AN18)),STDEV(AN8:AN18),"-")</f>
        <v>0</v>
      </c>
      <c r="AO21" s="742">
        <f>IF(ISNUMBER(STDEV(AO8:AO18)),STDEV(AO8:AO18),"-")</f>
        <v>0</v>
      </c>
      <c r="AP21" s="779">
        <f>IF(ISNUMBER(STDEV(AP8:AP18)),STDEV(AP8:AP18),"-")</f>
        <v>10.99330534704332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HTDvIce2NVWAPc6wzIKHSm7+plraqA1XSnMXWzNothPHPMDB2ZGzQ/DwHA8aAMjXGdCAGLbKg9Mb71Qlgu1PA==" saltValue="oTuxMGPnACAceC1GgsqU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OLIVENZA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vFZmQ1uwqBkdUFte65VvgugBZ0TpdXiUf9iag1cgaKGUPrkluJbxnzNYz/pHj+TXmG0hi+Tpn9rrQtAGgGjNA==" saltValue="sKRu8ysBV4+EAjr+6CYo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OLIVENZA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30</v>
      </c>
      <c r="E12" s="404">
        <f t="shared" si="0"/>
        <v>30</v>
      </c>
      <c r="F12" s="403">
        <f>IF(ISNUMBER(Datos!N12),Datos!N12," - ")</f>
        <v>62</v>
      </c>
      <c r="G12" s="404">
        <f t="shared" si="1"/>
        <v>62</v>
      </c>
      <c r="H12" s="403">
        <f>IF(ISNUMBER(Datos!O12),Datos!O12," - ")</f>
        <v>55</v>
      </c>
      <c r="I12" s="404">
        <f t="shared" si="2"/>
        <v>55</v>
      </c>
      <c r="BZ12" s="1186">
        <f>Datos!EZ12</f>
        <v>0</v>
      </c>
    </row>
    <row r="13" spans="1:78" ht="14.25" thickTop="1" thickBot="1">
      <c r="A13" s="848" t="str">
        <f>Datos!A13</f>
        <v>TOTAL</v>
      </c>
      <c r="B13" s="849">
        <f>Datos!AP13</f>
        <v>1</v>
      </c>
      <c r="C13" s="851">
        <f>Datos!AR13</f>
        <v>1</v>
      </c>
      <c r="D13" s="849">
        <f>SUBTOTAL(9,D9:D12)</f>
        <v>33</v>
      </c>
      <c r="E13" s="850">
        <f t="shared" si="0"/>
        <v>33</v>
      </c>
      <c r="F13" s="849">
        <f>SUBTOTAL(9,F9:F12)</f>
        <v>62</v>
      </c>
      <c r="G13" s="850">
        <f t="shared" si="1"/>
        <v>62</v>
      </c>
      <c r="H13" s="849">
        <f>SUBTOTAL(9,H9:H12)</f>
        <v>55</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20</v>
      </c>
      <c r="E16" s="404">
        <f t="shared" si="3"/>
        <v>20</v>
      </c>
      <c r="F16" s="403">
        <f>IF(ISNUMBER(Datos!N16),Datos!N16," - ")</f>
        <v>70</v>
      </c>
      <c r="G16" s="404">
        <f t="shared" si="4"/>
        <v>70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26</v>
      </c>
      <c r="E18" s="850">
        <f t="shared" si="3"/>
        <v>26</v>
      </c>
      <c r="F18" s="849">
        <f>SUBTOTAL(9,F15:F17)</f>
        <v>82</v>
      </c>
      <c r="G18" s="850">
        <f t="shared" si="4"/>
        <v>82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59</v>
      </c>
      <c r="E19" s="795">
        <f>IF(ISNUMBER(D19/B19),D19/B19," - ")</f>
        <v>59</v>
      </c>
      <c r="F19" s="794">
        <f>SUBTOTAL(9,F8:F18)</f>
        <v>144</v>
      </c>
      <c r="G19" s="795">
        <f>IF(ISNUMBER(F19/B19),F19/B19," - ")</f>
        <v>144</v>
      </c>
      <c r="H19" s="794">
        <f>SUBTOTAL(9,H8:H18)</f>
        <v>55</v>
      </c>
      <c r="I19" s="795">
        <f>IF(ISNUMBER(H19/B19),H19/B19," - ")</f>
        <v>55</v>
      </c>
    </row>
    <row r="22" spans="1:78">
      <c r="A22" s="391" t="str">
        <f>Criterios!A4</f>
        <v>Fecha Informe: 29 nov. 2024</v>
      </c>
    </row>
    <row r="27" spans="1:78">
      <c r="A27" s="414"/>
    </row>
  </sheetData>
  <sheetProtection algorithmName="SHA-512" hashValue="9McV5/XCUEH6BRkvsvyjh4NFNHSqTPd4eRDimV78jGMK6u8FLfgp/zG5Z2fI2wnkXesDjRIy6ACcnc2CCR+DEw==" saltValue="OcPAttS2qfr0pT+7SOvH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OLIVENZA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33</v>
      </c>
      <c r="D12" s="408">
        <f>IF(ISNUMBER(Datos!R12),Datos!R12," - ")</f>
        <v>1127</v>
      </c>
    </row>
    <row r="13" spans="1:4" ht="14.25" thickTop="1" thickBot="1">
      <c r="A13" s="848" t="str">
        <f>Datos!A13</f>
        <v>TOTAL</v>
      </c>
      <c r="B13" s="849">
        <f>SUBTOTAL(9,B9:B12)</f>
        <v>59</v>
      </c>
      <c r="C13" s="853">
        <f>SUBTOTAL(9,C9:C12)</f>
        <v>33</v>
      </c>
      <c r="D13" s="851">
        <f>SUBTOTAL(9,D9:D12)</f>
        <v>1128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4</v>
      </c>
      <c r="D16" s="408">
        <f>IF(ISNUMBER(Datos!R16),Datos!R16," - ")</f>
        <v>45</v>
      </c>
    </row>
    <row r="17" spans="1:4" ht="13.5" thickBot="1">
      <c r="A17" s="402" t="str">
        <f>Datos!A17</f>
        <v>Jdos. Violencia contra la mujer</v>
      </c>
      <c r="B17" s="433">
        <f>IF(ISNUMBER(Datos!P17),Datos!P17," - ")</f>
        <v>1</v>
      </c>
      <c r="C17" s="434">
        <f>IF(ISNUMBER(Datos!Q17),Datos!Q17," - ")</f>
        <v>2</v>
      </c>
      <c r="D17" s="408">
        <f>IF(ISNUMBER(Datos!R17),Datos!R17," - ")</f>
        <v>2</v>
      </c>
    </row>
    <row r="18" spans="1:4" ht="14.25" thickTop="1" thickBot="1">
      <c r="A18" s="848" t="str">
        <f>Datos!A18</f>
        <v>TOTAL</v>
      </c>
      <c r="B18" s="849">
        <f>SUBTOTAL(9,B15:B17)</f>
        <v>5</v>
      </c>
      <c r="C18" s="853">
        <f>SUBTOTAL(9,C15:C17)</f>
        <v>6</v>
      </c>
      <c r="D18" s="851">
        <f>SUBTOTAL(9,D15:D17)</f>
        <v>47</v>
      </c>
    </row>
    <row r="19" spans="1:4" ht="16.5" customHeight="1" thickTop="1" thickBot="1">
      <c r="A19" s="793" t="str">
        <f>Datos!A19</f>
        <v>TOTAL JURISDICCIONES</v>
      </c>
      <c r="B19" s="798">
        <f>SUBTOTAL(9,B8:B18)</f>
        <v>64</v>
      </c>
      <c r="C19" s="799">
        <f>SUBTOTAL(9,C8:C18)</f>
        <v>39</v>
      </c>
      <c r="D19" s="800">
        <f>SUBTOTAL(9,D8:D18)</f>
        <v>1175</v>
      </c>
    </row>
    <row r="20" spans="1:4" ht="7.5" customHeight="1"/>
    <row r="21" spans="1:4" ht="6" customHeight="1"/>
    <row r="22" spans="1:4">
      <c r="A22" s="391" t="str">
        <f>Criterios!A4</f>
        <v>Fecha Informe: 29 nov. 2024</v>
      </c>
    </row>
    <row r="27" spans="1:4">
      <c r="A27" s="414"/>
    </row>
  </sheetData>
  <sheetProtection algorithmName="SHA-512" hashValue="R3g4y1YlkccYIN7y0kCn6D1/++hqYsbQbitQdWF0FYAMIgHqJZD9F797dD1UVQvB/iVEi9uXphCbXd3l8AGLLg==" saltValue="wJud35VwbVAD0jk/Wrdo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OLIVENZA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-0.21052631578947367</v>
      </c>
      <c r="C10" s="456">
        <f>IF(ISNUMBER((Datos!J10-Datos!T10)/Datos!T10),(Datos!J10-Datos!T10)/Datos!T10," - ")</f>
        <v>0</v>
      </c>
      <c r="D10" s="456">
        <f>IF(ISNUMBER((Datos!K10-Datos!U10)/Datos!U10),(Datos!K10-Datos!U10)/Datos!U10," - ")</f>
        <v>0</v>
      </c>
      <c r="E10" s="456">
        <f>IF(ISNUMBER((Datos!L10-Datos!V10)/Datos!V10),(Datos!L10-Datos!V10)/Datos!V10," - ")</f>
        <v>-0.19047619047619047</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v>
      </c>
      <c r="I10" s="456">
        <f>IF(ISNUMBER(((NºAsuntos!I10/NºAsuntos!G10)-Datos!BE10)/Datos!BE10),((NºAsuntos!I10/NºAsuntos!G10)-Datos!BE10)/Datos!BE10," - ")</f>
        <v>-0.19047619047619044</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-0.16666666666666663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0.40868706811451133</v>
      </c>
      <c r="C12" s="456">
        <f>IF(ISNUMBER(
   IF(J_V="SI",(Datos!J12-Datos!T12)/Datos!T12,(Datos!J12+Datos!Z12-(Datos!T12+Datos!AH12))/(Datos!T12+Datos!AH12))
     ),IF(J_V="SI",(Datos!J12-Datos!T12)/Datos!T12,(Datos!J12+Datos!Z12-(Datos!T12+Datos!AH12))/(Datos!T12+Datos!AH12))," - ")</f>
        <v>-0.16901408450704225</v>
      </c>
      <c r="D12" s="456">
        <f>IF(ISNUMBER(
   IF(J_V="SI",(Datos!K12-Datos!U12)/Datos!U12,(Datos!K12+Datos!AA12-(Datos!U12+Datos!AI12))/(Datos!U12+Datos!AI12))
     ),IF(J_V="SI",(Datos!K12-Datos!U12)/Datos!U12,(Datos!K12+Datos!AA12-(Datos!U12+Datos!AI12))/(Datos!U12+Datos!AI12))," - ")</f>
        <v>-0.19178082191780821</v>
      </c>
      <c r="E12" s="456">
        <f>IF(ISNUMBER(
   IF(J_V="SI",(Datos!L12-Datos!V12)/Datos!V12,(Datos!L12+Datos!AB12-(Datos!V12+Datos!AJ12))/(Datos!V12+Datos!AJ12))
     ),IF(J_V="SI",(Datos!L12-Datos!V12)/Datos!V12,(Datos!L12+Datos!AB12-(Datos!V12+Datos!AJ12))/(Datos!V12+Datos!AJ12))," - ")</f>
        <v>0.31260229132569556</v>
      </c>
      <c r="F12" s="456">
        <f>IF(ISNUMBER((Datos!M12-Datos!W12)/Datos!W12),(Datos!M12-Datos!W12)/Datos!W12," - ")</f>
        <v>-0.11764705882352941</v>
      </c>
      <c r="G12" s="457">
        <f>IF(ISNUMBER((Datos!N12-Datos!X12)/Datos!X12),(Datos!N12-Datos!X12)/Datos!X12," - ")</f>
        <v>0.12727272727272726</v>
      </c>
      <c r="H12" s="455">
        <f>IF(ISNUMBER(((NºAsuntos!G12/NºAsuntos!E12)-Datos!BD12)/Datos!BD12),((NºAsuntos!G12/NºAsuntos!E12)-Datos!BD12)/Datos!BD12," - ")</f>
        <v>-2.7397260273972567E-2</v>
      </c>
      <c r="I12" s="456">
        <f>IF(ISNUMBER(((NºAsuntos!I12/NºAsuntos!G12)-Datos!BE12)/Datos!BE12),((NºAsuntos!I12/NºAsuntos!G12)-Datos!BE12)/Datos!BE12," - ")</f>
        <v>0.62406724180975881</v>
      </c>
      <c r="J12" s="461">
        <f>IF(ISNUMBER((('Resol  Asuntos'!D12/NºAsuntos!G12)-Datos!BF12)/Datos!BF12),(('Resol  Asuntos'!D12/NºAsuntos!G12)-Datos!BF12)/Datos!BF12," - ")</f>
        <v>-0.32511556240369804</v>
      </c>
      <c r="K12" s="462">
        <f>IF(ISNUMBER((((NºAsuntos!C12+NºAsuntos!E12)/NºAsuntos!G12)-Datos!BG12)/Datos!BG12),(((NºAsuntos!C12+NºAsuntos!E12)/NºAsuntos!G12)-Datos!BG12)/Datos!BG12," - ")</f>
        <v>0.55746357418971149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0.39728682170542634</v>
      </c>
      <c r="C13" s="855">
        <f>IF(ISNUMBER(
   IF(J_V="SI",(Datos!J13-Datos!T13)/Datos!T13,(Datos!J13+Datos!Z13-(Datos!T13+Datos!AH13))/(Datos!T13+Datos!AH13))
     ),IF(J_V="SI",(Datos!J13-Datos!T13)/Datos!T13,(Datos!J13+Datos!Z13-(Datos!T13+Datos!AH13))/(Datos!T13+Datos!AH13))," - ")</f>
        <v>-0.16666666666666666</v>
      </c>
      <c r="D13" s="855">
        <f>IF(ISNUMBER(
   IF(J_V="SI",(Datos!K13-Datos!U13)/Datos!U13,(Datos!K13+Datos!AA13-(Datos!U13+Datos!AI13))/(Datos!U13+Datos!AI13))
     ),IF(J_V="SI",(Datos!K13-Datos!U13)/Datos!U13,(Datos!K13+Datos!AA13-(Datos!U13+Datos!AI13))/(Datos!U13+Datos!AI13))," - ")</f>
        <v>-0.18791946308724833</v>
      </c>
      <c r="E13" s="855">
        <f>IF(ISNUMBER(
   IF(J_V="SI",(Datos!L13-Datos!V13)/Datos!V13,(Datos!L13+Datos!AB13-(Datos!V13+Datos!AJ13))/(Datos!V13+Datos!AJ13))
     ),IF(J_V="SI",(Datos!L13-Datos!V13)/Datos!V13,(Datos!L13+Datos!AB13-(Datos!V13+Datos!AJ13))/(Datos!V13+Datos!AJ13))," - ")</f>
        <v>0.30410297666934832</v>
      </c>
      <c r="F13" s="856">
        <f>IF(ISNUMBER((Datos!M13-Datos!W13)/Datos!W13),(Datos!M13-Datos!W13)/Datos!W13," - ")</f>
        <v>-8.3333333333333329E-2</v>
      </c>
      <c r="G13" s="857">
        <f>IF(ISNUMBER((Datos!N13-Datos!X13)/Datos!X13),(Datos!N13-Datos!X13)/Datos!X13," - ")</f>
        <v>0.10714285714285714</v>
      </c>
      <c r="H13" s="857">
        <f>IF(ISNUMBER(((NºAsuntos!G13/NºAsuntos!E13)-Datos!BD13)/Datos!BD13),((NºAsuntos!G13/NºAsuntos!E13)-Datos!BD13)/Datos!BD13," - ")</f>
        <v>-2.5503355704697951E-2</v>
      </c>
      <c r="I13" s="857">
        <f>IF(ISNUMBER(((NºAsuntos!I13/NºAsuntos!G13)-Datos!BE13)/Datos!BE13),((NºAsuntos!I13/NºAsuntos!G13)-Datos!BE13)/Datos!BE13," - ")</f>
        <v>0.60587887209696611</v>
      </c>
      <c r="J13" s="857">
        <f>IF(ISNUMBER((('Resol  Asuntos'!D13/NºAsuntos!G13)-Datos!BF13)/Datos!BF13),(('Resol  Asuntos'!D13/NºAsuntos!G13)-Datos!BF13)/Datos!BF13," - ")</f>
        <v>-0.28708133971291872</v>
      </c>
      <c r="K13" s="857">
        <f>IF(ISNUMBER((((NºAsuntos!C13+NºAsuntos!E13)/NºAsuntos!G13)-Datos!BG13)/Datos!BG13),(((NºAsuntos!C13+NºAsuntos!E13)/NºAsuntos!G13)-Datos!BG13)/Datos!BG13," - ")</f>
        <v>0.54102545834520754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-1.5576323987538941E-2</v>
      </c>
      <c r="C16" s="456">
        <f>IF(ISNUMBER(
   IF(D_I="SI",(Datos!J16-Datos!T16)/Datos!T16,(Datos!J16+Datos!AD16-(Datos!T16+Datos!AL16))/(Datos!T16+Datos!AL16))
     ),IF(D_I="SI",(Datos!J16-Datos!T16)/Datos!T16,(Datos!J16+Datos!AD16-(Datos!T16+Datos!AL16))/(Datos!T16+Datos!AL16))," - ")</f>
        <v>-0.2032520325203252</v>
      </c>
      <c r="D16" s="456">
        <f>IF(ISNUMBER(
   IF(D_I="SI",(Datos!K16-Datos!U16)/Datos!U16,(Datos!K16+Datos!AE16-(Datos!U16+Datos!AM16))/(Datos!U16+Datos!AM16))
     ),IF(D_I="SI",(Datos!K16-Datos!U16)/Datos!U16,(Datos!K16+Datos!AE16-(Datos!U16+Datos!AM16))/(Datos!U16+Datos!AM16))," - ")</f>
        <v>-0.54022988505747127</v>
      </c>
      <c r="E16" s="456">
        <f>IF(ISNUMBER(
   IF(D_I="SI",(Datos!L16-Datos!V16)/Datos!V16,(Datos!L16+Datos!AF16-(Datos!V16+Datos!AN16))/(Datos!V16+Datos!AN16))
     ),IF(D_I="SI",(Datos!L16-Datos!V16)/Datos!V16,(Datos!L16+Datos!AF16-(Datos!V16+Datos!AN16))/(Datos!V16+Datos!AN16))," - ")</f>
        <v>0.28104575163398693</v>
      </c>
      <c r="F16" s="456">
        <f>IF(ISNUMBER((Datos!M16-Datos!W16)/Datos!W16),(Datos!M16-Datos!W16)/Datos!W16," - ")</f>
        <v>-0.31034482758620691</v>
      </c>
      <c r="G16" s="457">
        <f>IF(ISNUMBER((Datos!N16-Datos!X16)/Datos!X16),(Datos!N16-Datos!X16)/Datos!X16," - ")</f>
        <v>-0.55974842767295596</v>
      </c>
      <c r="H16" s="455">
        <f>IF(ISNUMBER(((NºAsuntos!G16/NºAsuntos!E16)-Datos!BD16)/Datos!BD16),((NºAsuntos!G16/NºAsuntos!E16)-Datos!BD16)/Datos!BD16," - ")</f>
        <v>-0.42294159042927515</v>
      </c>
      <c r="I16" s="456">
        <f>IF(ISNUMBER(((NºAsuntos!I16/NºAsuntos!G16)-Datos!BE16)/Datos!BE16),((NºAsuntos!I16/NºAsuntos!G16)-Datos!BE16)/Datos!BE16," - ")</f>
        <v>1.7862745098039217</v>
      </c>
      <c r="J16" s="461">
        <f>IF(ISNUMBER((('Resol  Asuntos'!D16/NºAsuntos!G16)-Datos!BF16)/Datos!BF16),(('Resol  Asuntos'!D16/NºAsuntos!G16)-Datos!BF16)/Datos!BF16," - ")</f>
        <v>0.5</v>
      </c>
      <c r="K16" s="462">
        <f>IF(ISNUMBER((((NºAsuntos!C16+NºAsuntos!E16)/NºAsuntos!G16)-Datos!BG16)/Datos!BG16),(((NºAsuntos!C16+NºAsuntos!E16)/NºAsuntos!G16)-Datos!BG16)/Datos!BG16," - ")</f>
        <v>0.96402116402116389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-6.8965517241379309E-2</v>
      </c>
      <c r="D17" s="456">
        <f>IF(ISNUMBER(
   IF(D_I="SI",(Datos!K17-Datos!U17)/Datos!U17,(Datos!K17+Datos!AE17-(Datos!U17+Datos!AM17))/(Datos!U17+Datos!AM17))
     ),IF(D_I="SI",(Datos!K17-Datos!U17)/Datos!U17,(Datos!K17+Datos!AE17-(Datos!U17+Datos!AM17))/(Datos!U17+Datos!AM17))," - ")</f>
        <v>0.17391304347826086</v>
      </c>
      <c r="E17" s="456">
        <f>IF(ISNUMBER(
   IF(D_I="SI",(Datos!L17-Datos!V17)/Datos!V17,(Datos!L17+Datos!AF17-(Datos!V17+Datos!AN17))/(Datos!V17+Datos!AN17))
     ),IF(D_I="SI",(Datos!L17-Datos!V17)/Datos!V17,(Datos!L17+Datos!AF17-(Datos!V17+Datos!AN17))/(Datos!V17+Datos!AN17))," - ")</f>
        <v>0.36842105263157893</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0.26086956521739124</v>
      </c>
      <c r="I17" s="456">
        <f>IF(ISNUMBER(((NºAsuntos!I17/NºAsuntos!G17)-Datos!BE17)/Datos!BE17),((NºAsuntos!I17/NºAsuntos!G17)-Datos!BE17)/Datos!BE17," - ")</f>
        <v>0.16569200779727089</v>
      </c>
      <c r="J17" s="461">
        <f>IF(ISNUMBER((('Resol  Asuntos'!D17/NºAsuntos!G17)-Datos!BF17)/Datos!BF17),(('Resol  Asuntos'!D17/NºAsuntos!G17)-Datos!BF17)/Datos!BF17," - ")</f>
        <v>-0.14814814814814817</v>
      </c>
      <c r="K17" s="462">
        <f>IF(ISNUMBER((((NºAsuntos!C17+NºAsuntos!E17)/NºAsuntos!G17)-Datos!BG17)/Datos!BG17),(((NºAsuntos!C17+NºAsuntos!E17)/NºAsuntos!G17)-Datos!BG17)/Datos!BG17," - ")</f>
        <v>7.4955908289241716E-2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2.3952095808383235E-2</v>
      </c>
      <c r="C18" s="855">
        <f>IF(ISNUMBER(
   IF(Criterios!B14="SI",(Datos!J18-Datos!T18)/Datos!T18,(Datos!J18+Datos!AD18-(Datos!T18+Datos!AL18))/(Datos!T18+Datos!AL18))
     ),IF(Criterios!B14="SI",(Datos!J18-Datos!T18)/Datos!T18,(Datos!J18+Datos!AD18-(Datos!T18+Datos!AL18))/(Datos!T18+Datos!AL18))," - ")</f>
        <v>-0.18909090909090909</v>
      </c>
      <c r="D18" s="855">
        <f>IF(ISNUMBER(
   IF(Criterios!B14="SI",(Datos!K18-Datos!U18)/Datos!U18,(Datos!K18+Datos!AE18-(Datos!U18+Datos!AM18))/(Datos!U18+Datos!AM18))
     ),IF(Criterios!B14="SI",(Datos!K18-Datos!U18)/Datos!U18,(Datos!K18+Datos!AE18-(Datos!U18+Datos!AM18))/(Datos!U18+Datos!AM18))," - ")</f>
        <v>-0.48239436619718312</v>
      </c>
      <c r="E18" s="855">
        <f>IF(ISNUMBER(
   IF(Criterios!B14="SI",(Datos!L18-Datos!V18)/Datos!V18,(Datos!L18+Datos!AF18-(Datos!V18+Datos!AN18))/(Datos!V18+Datos!AN18))
     ),IF(Criterios!B14="SI",(Datos!L18-Datos!V18)/Datos!V18,(Datos!L18+Datos!AF18-(Datos!V18+Datos!AN18))/(Datos!V18+Datos!AN18))," - ")</f>
        <v>0.28615384615384615</v>
      </c>
      <c r="F18" s="856">
        <f>IF(ISNUMBER((Datos!M18-Datos!W18)/Datos!W18),(Datos!M18-Datos!W18)/Datos!W18," - ")</f>
        <v>-0.25714285714285712</v>
      </c>
      <c r="G18" s="857">
        <f>IF(ISNUMBER((Datos!N18-Datos!X18)/Datos!X18),(Datos!N18-Datos!X18)/Datos!X18," - ")</f>
        <v>-0.53142857142857147</v>
      </c>
      <c r="H18" s="857">
        <f>IF(ISNUMBER(((NºAsuntos!G18/NºAsuntos!E18)-Datos!BD18)/Datos!BD18),((NºAsuntos!G18/NºAsuntos!E18)-Datos!BD18)/Datos!BD18," - ")</f>
        <v>-0.36169708835975495</v>
      </c>
      <c r="I18" s="857">
        <f>IF(ISNUMBER(((NºAsuntos!I18/NºAsuntos!G18)-Datos!BE18)/Datos!BE18),((NºAsuntos!I18/NºAsuntos!G18)-Datos!BE18)/Datos!BE18," - ")</f>
        <v>1.4848142333856622</v>
      </c>
      <c r="J18" s="857">
        <f>IF(ISNUMBER((('Resol  Asuntos'!D18/NºAsuntos!G18)-Datos!BF18)/Datos!BF18),(('Resol  Asuntos'!D18/NºAsuntos!G18)-Datos!BF18)/Datos!BF18," - ")</f>
        <v>0.43517978620019437</v>
      </c>
      <c r="K18" s="857">
        <f>IF(ISNUMBER((((NºAsuntos!C18+NºAsuntos!E18)/NºAsuntos!G18)-Datos!BG18)/Datos!BG18),(((NºAsuntos!C18+NºAsuntos!E18)/NºAsuntos!G18)-Datos!BG18)/Datos!BG18," - ")</f>
        <v>0.79238854819431892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0.30600292825768666</v>
      </c>
      <c r="C19" s="802">
        <f>IF(ISNUMBER(
   IF(J_V="SI",(Datos!J19-Datos!T19)/Datos!T19,(Datos!J19+Datos!Z19-(Datos!T19+Datos!AH19))/(Datos!T19+Datos!AH19))
     ),IF(J_V="SI",(Datos!J19-Datos!T19)/Datos!T19,(Datos!J19+Datos!Z19-(Datos!T19+Datos!AH19))/(Datos!T19+Datos!AH19))," - ")</f>
        <v>-0.17637795275590551</v>
      </c>
      <c r="D19" s="802">
        <f>IF(ISNUMBER(
   IF(J_V="SI",(Datos!K19-Datos!U19)/Datos!U19,(Datos!K19+Datos!AA19-(Datos!U19+Datos!AI19))/(Datos!U19+Datos!AI19))
     ),IF(J_V="SI",(Datos!K19-Datos!U19)/Datos!U19,(Datos!K19+Datos!AA19-(Datos!U19+Datos!AI19))/(Datos!U19+Datos!AI19))," - ")</f>
        <v>-0.38106235565819863</v>
      </c>
      <c r="E19" s="802">
        <f>IF(ISNUMBER(
   IF(J_V="SI",(Datos!L19-Datos!V19)/Datos!V19,(Datos!L19+Datos!AB19-(Datos!V19+Datos!AJ19))/(Datos!V19+Datos!AJ19))
     ),IF(J_V="SI",(Datos!L19-Datos!V19)/Datos!V19,(Datos!L19+Datos!AB19-(Datos!V19+Datos!AJ19))/(Datos!V19+Datos!AJ19))," - ")</f>
        <v>0.30038265306122447</v>
      </c>
      <c r="F19" s="803">
        <f>IF(ISNUMBER((Datos!M19-Datos!W19)/Datos!W19),(Datos!M19-Datos!W19)/Datos!W19," - ")</f>
        <v>-0.16901408450704225</v>
      </c>
      <c r="G19" s="804">
        <f>IF(ISNUMBER((Datos!N19-Datos!X19)/Datos!X19),(Datos!N19-Datos!X19)/Datos!X19," - ")</f>
        <v>-0.37662337662337664</v>
      </c>
      <c r="H19" s="805">
        <f>IF(ISNUMBER((Tasas!B19-Datos!BD19)/Datos!BD19),(Tasas!B19-Datos!BD19)/Datos!BD19," - ")</f>
        <v>-0.2485173916691322</v>
      </c>
      <c r="I19" s="806">
        <f>IF(ISNUMBER((Tasas!C19-Datos!BE19)/Datos!BE19),(Tasas!C19-Datos!BE19)/Datos!BE19," - ")</f>
        <v>1.1009913760280232</v>
      </c>
      <c r="J19" s="807">
        <f>IF(ISNUMBER((Tasas!D19-Datos!BF19)/Datos!BF19),(Tasas!D19-Datos!BF19)/Datos!BF19," - ")</f>
        <v>3.6137248539909128E-2</v>
      </c>
      <c r="K19" s="807">
        <f>IF(ISNUMBER((Tasas!E19-Datos!BG19)/Datos!BG19),(Tasas!E19-Datos!BG19)/Datos!BG19," - ")</f>
        <v>0.8627458658730337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O2ML1Q8nXQUsiVi4VyRH3rnLGJ9xBnYIJAqvDpmTdjQp9HcgnPY9eMQIQdioHv8CADSsUFHCq8uyWTjJTToDw==" saltValue="Nv/u6HubvSzIGNCCDRYo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OLIVENZA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5.666666666666667</v>
      </c>
      <c r="D10" s="444">
        <f>IF(ISNUMBER('Resol  Asuntos'!D10/NºAsuntos!G10),'Resol  Asuntos'!D10/NºAsuntos!G10," - ")</f>
        <v>1</v>
      </c>
      <c r="E10" s="445">
        <f>IF(ISNUMBER((NºAsuntos!C10+NºAsuntos!E10)/NºAsuntos!G10),(NºAsuntos!C10+NºAsuntos!E10)/NºAsuntos!G10," - ")</f>
        <v>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v>
      </c>
      <c r="C12" s="443">
        <f>IF(ISNUMBER(NºAsuntos!I12/NºAsuntos!G12),NºAsuntos!I12/NºAsuntos!G12," - ")</f>
        <v>13.59322033898305</v>
      </c>
      <c r="D12" s="444">
        <f>IF(ISNUMBER('Resol  Asuntos'!D12/NºAsuntos!G12),'Resol  Asuntos'!D12/NºAsuntos!G12," - ")</f>
        <v>0.25423728813559321</v>
      </c>
      <c r="E12" s="445">
        <f>IF(ISNUMBER((NºAsuntos!C12+NºAsuntos!E12)/NºAsuntos!G12),(NºAsuntos!C12+NºAsuntos!E12)/NºAsuntos!G12," - ")</f>
        <v>14.59322033898305</v>
      </c>
      <c r="G12" s="463"/>
    </row>
    <row r="13" spans="1:7" ht="14.25" thickTop="1" thickBot="1">
      <c r="A13" s="848" t="str">
        <f>Datos!A13</f>
        <v>TOTAL</v>
      </c>
      <c r="B13" s="858">
        <f>IF(ISNUMBER(NºAsuntos!G13/NºAsuntos!E13),NºAsuntos!G13/NºAsuntos!E13," - ")</f>
        <v>0.40333333333333332</v>
      </c>
      <c r="C13" s="859">
        <f>IF(ISNUMBER(NºAsuntos!I13/NºAsuntos!G13),NºAsuntos!I13/NºAsuntos!G13," - ")</f>
        <v>13.396694214876034</v>
      </c>
      <c r="D13" s="860">
        <f>IF(ISNUMBER('Resol  Asuntos'!D13/NºAsuntos!G13),'Resol  Asuntos'!D13/NºAsuntos!G13," - ")</f>
        <v>0.27272727272727271</v>
      </c>
      <c r="E13" s="861">
        <f>IF(ISNUMBER((NºAsuntos!C13+NºAsuntos!E13)/NºAsuntos!G13),(NºAsuntos!C13+NºAsuntos!E13)/NºAsuntos!G13," - ")</f>
        <v>14.396694214876034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0.61224489795918369</v>
      </c>
      <c r="C16" s="443">
        <f>IF(ISNUMBER(NºAsuntos!I16/NºAsuntos!G16),NºAsuntos!I16/NºAsuntos!G16," - ")</f>
        <v>3.2666666666666666</v>
      </c>
      <c r="D16" s="444">
        <f>IF(ISNUMBER('Resol  Asuntos'!D16/NºAsuntos!G16),'Resol  Asuntos'!D16/NºAsuntos!G16," - ")</f>
        <v>0.16666666666666666</v>
      </c>
      <c r="E16" s="445">
        <f>IF(ISNUMBER((NºAsuntos!C16+NºAsuntos!E16)/NºAsuntos!G16),(NºAsuntos!C16+NºAsuntos!E16)/NºAsuntos!G16," - ")</f>
        <v>4.2666666666666666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0.96296296296296291</v>
      </c>
      <c r="D17" s="444">
        <f>IF(ISNUMBER('Resol  Asuntos'!D17/NºAsuntos!G17),'Resol  Asuntos'!D17/NºAsuntos!G17," - ")</f>
        <v>0.22222222222222221</v>
      </c>
      <c r="E17" s="445">
        <f>IF(ISNUMBER((NºAsuntos!C17+NºAsuntos!E17)/NºAsuntos!G17),(NºAsuntos!C17+NºAsuntos!E17)/NºAsuntos!G17," - ")</f>
        <v>1.962962962962963</v>
      </c>
      <c r="G17" s="463"/>
    </row>
    <row r="18" spans="1:7" ht="14.25" thickTop="1" thickBot="1">
      <c r="A18" s="848" t="str">
        <f>Datos!A18</f>
        <v>TOTAL</v>
      </c>
      <c r="B18" s="858">
        <f>IF(ISNUMBER(NºAsuntos!G18/NºAsuntos!E18),NºAsuntos!G18/NºAsuntos!E18," - ")</f>
        <v>0.65919282511210764</v>
      </c>
      <c r="C18" s="859">
        <f>IF(ISNUMBER(NºAsuntos!I18/NºAsuntos!G18),NºAsuntos!I18/NºAsuntos!G18," - ")</f>
        <v>2.8435374149659864</v>
      </c>
      <c r="D18" s="862">
        <f>IF(ISNUMBER('Resol  Asuntos'!D18/NºAsuntos!G18),'Resol  Asuntos'!D18/NºAsuntos!G18," - ")</f>
        <v>0.17687074829931973</v>
      </c>
      <c r="E18" s="861">
        <f>IF(ISNUMBER((NºAsuntos!C18+NºAsuntos!E18)/NºAsuntos!G18),(NºAsuntos!C18+NºAsuntos!E18)/NºAsuntos!G18," - ")</f>
        <v>3.8435374149659864</v>
      </c>
      <c r="G18" s="463"/>
    </row>
    <row r="19" spans="1:7" ht="15.75" customHeight="1" thickTop="1" thickBot="1">
      <c r="A19" s="793" t="str">
        <f>Datos!A19</f>
        <v>TOTAL JURISDICCIONES</v>
      </c>
      <c r="B19" s="808">
        <f>IF(ISNUMBER(NºAsuntos!G19/NºAsuntos!E19),NºAsuntos!G19/NºAsuntos!E19," - ")</f>
        <v>0.5124282982791587</v>
      </c>
      <c r="C19" s="809">
        <f>IF(ISNUMBER(NºAsuntos!I19/NºAsuntos!G19),NºAsuntos!I19/NºAsuntos!G19," - ")</f>
        <v>7.6082089552238807</v>
      </c>
      <c r="D19" s="810">
        <f>IF(ISNUMBER('Resol  Asuntos'!D19/NºAsuntos!G19),'Resol  Asuntos'!D19/NºAsuntos!G19," - ")</f>
        <v>0.22014925373134328</v>
      </c>
      <c r="E19" s="811">
        <f>IF(ISNUMBER((NºAsuntos!C19+NºAsuntos!E19)/NºAsuntos!G19),(NºAsuntos!C19+NºAsuntos!E19)/NºAsuntos!G19," - ")</f>
        <v>8.6082089552238799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6Yqlk89xxZVEC32L6B3tXycLgDYPx+59cl6qwhF86MCnqnJRPS7dMOt/PtSzKf7gEkmlwxkHBM4V013QyjOnA==" saltValue="hi700pVlrV8O66N0auT4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OLIVENZA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17</v>
      </c>
      <c r="AB10" s="334">
        <f>IF(ISNUMBER(Datos!R10),Datos!R10," - ")</f>
        <v>1</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11.333333333333334</v>
      </c>
      <c r="AN10" s="244">
        <f>IF(ISNUMBER('Resol  Asuntos'!D10/NºAsuntos!G10),'Resol  Asuntos'!D10/NºAsuntos!G10," - ")</f>
        <v>1</v>
      </c>
      <c r="AO10" s="245">
        <f>IF(ISNUMBER((NºAsuntos!C10+NºAsuntos!E10)/NºAsuntos!G10),(NºAsuntos!C10+NºAsuntos!E10)/NºAsuntos!G10," - ")</f>
        <v>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v>
      </c>
      <c r="AJ12" s="229" t="str">
        <f>IF(ISNUMBER(Datos!BW12),Datos!BW12," - ")</f>
        <v xml:space="preserve"> - </v>
      </c>
      <c r="AK12" s="228" t="str">
        <f>IF(ISNUMBER(Datos!BX12),Datos!BX12," - ")</f>
        <v xml:space="preserve"> - </v>
      </c>
      <c r="AL12" s="243">
        <f>IF(ISNUMBER(NºAsuntos!G12/NºAsuntos!E12),NºAsuntos!G12/NºAsuntos!E12," - ")</f>
        <v>0.4</v>
      </c>
      <c r="AM12" s="260">
        <f>IF(ISNUMBER(((NºAsuntos!I12/NºAsuntos!G12)*11)/factor_trimestre),((NºAsuntos!I12/NºAsuntos!G12)*11)/factor_trimestre," - ")</f>
        <v>27.186440677966104</v>
      </c>
      <c r="AN12" s="244">
        <f>IF(ISNUMBER('Resol  Asuntos'!D12/NºAsuntos!G12),'Resol  Asuntos'!D12/NºAsuntos!G12," - ")</f>
        <v>0.25423728813559321</v>
      </c>
      <c r="AO12" s="245">
        <f>IF(ISNUMBER((NºAsuntos!C12+NºAsuntos!E12)/NºAsuntos!G12),(NºAsuntos!C12+NºAsuntos!E12)/NºAsuntos!G12," - ")</f>
        <v>14.59322033898305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15</v>
      </c>
      <c r="G13" s="866">
        <f t="shared" si="3"/>
        <v>15</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33</v>
      </c>
      <c r="Y13" s="868">
        <f t="shared" si="4"/>
        <v>36</v>
      </c>
      <c r="Z13" s="868">
        <f t="shared" si="4"/>
        <v>0</v>
      </c>
      <c r="AA13" s="868">
        <f t="shared" si="4"/>
        <v>17</v>
      </c>
      <c r="AB13" s="868">
        <f t="shared" si="4"/>
        <v>1128</v>
      </c>
      <c r="AC13" s="868">
        <f t="shared" si="4"/>
        <v>18</v>
      </c>
      <c r="AD13" s="868">
        <f t="shared" si="4"/>
        <v>0</v>
      </c>
      <c r="AE13" s="872">
        <f t="shared" si="4"/>
        <v>0</v>
      </c>
      <c r="AF13" s="865">
        <f t="shared" si="4"/>
        <v>0</v>
      </c>
      <c r="AG13" s="873">
        <f t="shared" si="4"/>
        <v>0</v>
      </c>
      <c r="AH13" s="870">
        <f t="shared" si="4"/>
        <v>0</v>
      </c>
      <c r="AI13" s="865">
        <f t="shared" si="4"/>
        <v>33</v>
      </c>
      <c r="AJ13" s="867">
        <f t="shared" si="4"/>
        <v>0</v>
      </c>
      <c r="AK13" s="870">
        <f>SUBTOTAL(9,AK9:AK12)</f>
        <v>0</v>
      </c>
      <c r="AL13" s="874">
        <f>IF(ISNUMBER(NºAsuntos!G13/NºAsuntos!E13),NºAsuntos!G13/NºAsuntos!E13," - ")</f>
        <v>0.40333333333333332</v>
      </c>
      <c r="AM13" s="874">
        <f>IF(ISNUMBER(((NºAsuntos!I13/NºAsuntos!G13)*11)/factor_trimestre),((NºAsuntos!I13/NºAsuntos!G13)*11)/factor_trimestre," - ")</f>
        <v>26.793388429752067</v>
      </c>
      <c r="AN13" s="875">
        <f>IF(ISNUMBER('Resol  Asuntos'!D13/NºAsuntos!G13),'Resol  Asuntos'!D13/NºAsuntos!G13," - ")</f>
        <v>0.27272727272727271</v>
      </c>
      <c r="AO13" s="876">
        <f>IF(ISNUMBER((NºAsuntos!C13+NºAsuntos!E13)/NºAsuntos!G13),(NºAsuntos!C13+NºAsuntos!E13)/NºAsuntos!G13," - ")</f>
        <v>14.396694214876034</v>
      </c>
      <c r="AP13" s="877" t="str">
        <f t="shared" si="2"/>
        <v xml:space="preserve"> - </v>
      </c>
      <c r="AQ13" s="877">
        <f>IF(ISNUMBER((H13-W13+K13)/(F13)),(H13-W13+K13)/(F13)," - ")</f>
        <v>-0.2</v>
      </c>
      <c r="AR13" s="878">
        <f>IF(ISNUMBER((Datos!P13-Datos!Q13)/(Datos!R13-Datos!P13+Datos!Q13)),(Datos!P13-Datos!Q13)/(Datos!R13-Datos!P13+Datos!Q13)," - ")</f>
        <v>2.3593466424682397E-2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316</v>
      </c>
      <c r="G16" s="333">
        <f>IF(ISNUMBER(IF(D_I="SI",Datos!I16,Datos!I16+Datos!AC16)),IF(D_I="SI",Datos!I16,Datos!I16+Datos!AC16)," - ")</f>
        <v>316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v>
      </c>
      <c r="X16" s="226">
        <f>IF(ISNUMBER(Datos!Q16),Datos!Q16," - ")</f>
        <v>4</v>
      </c>
      <c r="Y16" s="334">
        <f t="shared" ref="Y16:Y17" si="7">SUM(W16:X16)</f>
        <v>124</v>
      </c>
      <c r="Z16" s="335" t="str">
        <f>IF(ISNUMBER(Datos!CC16),Datos!CC16," - ")</f>
        <v xml:space="preserve"> - </v>
      </c>
      <c r="AA16" s="332">
        <f>IF(ISNUMBER(IF(D_I="SI",Datos!L16,Datos!L16+Datos!AF16)),IF(D_I="SI",Datos!L16,Datos!L16+Datos!AF16)," - ")</f>
        <v>392</v>
      </c>
      <c r="AB16" s="334">
        <f>IF(ISNUMBER(Datos!R16),Datos!R16," - ")</f>
        <v>45</v>
      </c>
      <c r="AC16" s="334">
        <f t="shared" si="6"/>
        <v>437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0.61224489795918369</v>
      </c>
      <c r="AM16" s="260">
        <f>IF(ISNUMBER(((NºAsuntos!I16/NºAsuntos!G16)*11)/factor_trimestre),((NºAsuntos!I16/NºAsuntos!G16)*11)/factor_trimestre," - ")</f>
        <v>6.5333333333333323</v>
      </c>
      <c r="AN16" s="244">
        <f>IF(ISNUMBER('Resol  Asuntos'!D16/NºAsuntos!G16),'Resol  Asuntos'!D16/NºAsuntos!G16," - ")</f>
        <v>0.16666666666666666</v>
      </c>
      <c r="AO16" s="245">
        <f>IF(ISNUMBER((NºAsuntos!C16+NºAsuntos!E16)/NºAsuntos!G16),(NºAsuntos!C16+NºAsuntos!E16)/NºAsuntos!G16," - ")</f>
        <v>4.2666666666666666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2</v>
      </c>
      <c r="Y17" s="334">
        <f t="shared" si="7"/>
        <v>29</v>
      </c>
      <c r="Z17" s="335" t="str">
        <f>IF(ISNUMBER(Datos!CC17),Datos!CC17," - ")</f>
        <v xml:space="preserve"> - </v>
      </c>
      <c r="AA17" s="332">
        <f>IF(ISNUMBER(Datos!L17),Datos!L17,"-")</f>
        <v>26</v>
      </c>
      <c r="AB17" s="334">
        <f>IF(ISNUMBER(Datos!R17),Datos!R17," - ")</f>
        <v>2</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1.9259259259259258</v>
      </c>
      <c r="AN17" s="244">
        <f>IF(ISNUMBER('Resol  Asuntos'!D17/NºAsuntos!G17),'Resol  Asuntos'!D17/NºAsuntos!G17," - ")</f>
        <v>0.22222222222222221</v>
      </c>
      <c r="AO17" s="245">
        <f>IF(ISNUMBER((NºAsuntos!C17+NºAsuntos!E17)/NºAsuntos!G17),(NºAsuntos!C17+NºAsuntos!E17)/NºAsuntos!G17," - ")</f>
        <v>1.962962962962963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316</v>
      </c>
      <c r="G18" s="866">
        <f>SUBTOTAL(9,G15:G17)</f>
        <v>342</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v>
      </c>
      <c r="X18" s="867">
        <f t="shared" si="11"/>
        <v>6</v>
      </c>
      <c r="Y18" s="868">
        <f t="shared" si="11"/>
        <v>153</v>
      </c>
      <c r="Z18" s="868">
        <f t="shared" si="11"/>
        <v>0</v>
      </c>
      <c r="AA18" s="868">
        <f t="shared" si="11"/>
        <v>418</v>
      </c>
      <c r="AB18" s="868">
        <f t="shared" si="11"/>
        <v>47</v>
      </c>
      <c r="AC18" s="868">
        <f t="shared" si="11"/>
        <v>465</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0.65919282511210764</v>
      </c>
      <c r="AM18" s="874">
        <f>IF(ISNUMBER(((NºAsuntos!I18/NºAsuntos!G18)*11)/factor_trimestre),((NºAsuntos!I18/NºAsuntos!G18)*11)/factor_trimestre," - ")</f>
        <v>5.6870748299319729</v>
      </c>
      <c r="AN18" s="875">
        <f>IF(ISNUMBER('Resol  Asuntos'!D18/NºAsuntos!G18),'Resol  Asuntos'!D18/NºAsuntos!G18," - ")</f>
        <v>0.17687074829931973</v>
      </c>
      <c r="AO18" s="876">
        <f>IF(ISNUMBER((NºAsuntos!C18+NºAsuntos!E18)/NºAsuntos!G18),(NºAsuntos!C18+NºAsuntos!E18)/NºAsuntos!G18," - ")</f>
        <v>3.8435374149659864</v>
      </c>
      <c r="AP18" s="877" t="str">
        <f t="shared" si="2"/>
        <v xml:space="preserve"> - </v>
      </c>
      <c r="AQ18" s="877">
        <f>IF(ISNUMBER((H18-W18+K18)/(F18)),(H18-W18+K18)/(F18)," - ")</f>
        <v>-0.4651898734177215</v>
      </c>
      <c r="AR18" s="878">
        <f>IF(ISNUMBER((Datos!P18-Datos!Q18)/(Datos!R18-Datos!P18+Datos!Q18)),(Datos!P18-Datos!Q18)/(Datos!R18-Datos!P18+Datos!Q18)," - ")</f>
        <v>-2.0833333333333332E-2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331</v>
      </c>
      <c r="G19" s="821">
        <f t="shared" si="13"/>
        <v>357</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150</v>
      </c>
      <c r="X19" s="821">
        <f t="shared" si="14"/>
        <v>39</v>
      </c>
      <c r="Y19" s="828">
        <f t="shared" si="14"/>
        <v>189</v>
      </c>
      <c r="Z19" s="828">
        <f t="shared" si="14"/>
        <v>0</v>
      </c>
      <c r="AA19" s="828">
        <f t="shared" si="14"/>
        <v>435</v>
      </c>
      <c r="AB19" s="828">
        <f t="shared" si="14"/>
        <v>1175</v>
      </c>
      <c r="AC19" s="828">
        <f t="shared" si="14"/>
        <v>483</v>
      </c>
      <c r="AD19" s="828">
        <f t="shared" si="14"/>
        <v>0</v>
      </c>
      <c r="AE19" s="830">
        <f t="shared" si="14"/>
        <v>0</v>
      </c>
      <c r="AF19" s="831">
        <f t="shared" si="14"/>
        <v>0</v>
      </c>
      <c r="AG19" s="832">
        <f t="shared" si="14"/>
        <v>0</v>
      </c>
      <c r="AH19" s="830">
        <f t="shared" si="14"/>
        <v>0</v>
      </c>
      <c r="AI19" s="820">
        <f t="shared" si="14"/>
        <v>59</v>
      </c>
      <c r="AJ19" s="820">
        <f t="shared" si="14"/>
        <v>0</v>
      </c>
      <c r="AK19" s="830">
        <f t="shared" si="14"/>
        <v>0</v>
      </c>
      <c r="AL19" s="884">
        <f>IF(ISNUMBER(NºAsuntos!G19/NºAsuntos!E19),NºAsuntos!G19/NºAsuntos!E19," - ")</f>
        <v>0.5124282982791587</v>
      </c>
      <c r="AM19" s="885">
        <f>IF(ISNUMBER(((NºAsuntos!I19/NºAsuntos!G19)*11)/factor_trimestre),((NºAsuntos!I19/NºAsuntos!G19)*11)/factor_trimestre," - ")</f>
        <v>15.216417910447761</v>
      </c>
      <c r="AN19" s="885">
        <f>IF(ISNUMBER('Resol  Asuntos'!D19/NºAsuntos!G19),'Resol  Asuntos'!D19/NºAsuntos!G19," - ")</f>
        <v>0.22014925373134328</v>
      </c>
      <c r="AO19" s="886">
        <f>IF(ISNUMBER((NºAsuntos!C19+NºAsuntos!E19)/NºAsuntos!G19),(NºAsuntos!C19+NºAsuntos!E19)/NºAsuntos!G19," - ")</f>
        <v>8.6082089552238799</v>
      </c>
      <c r="AP19" s="887" t="str">
        <f t="shared" si="2"/>
        <v xml:space="preserve"> - </v>
      </c>
      <c r="AQ19" s="888">
        <f>IF(OR(ISNUMBER(FIND("01",Criterios!A8,1)),ISNUMBER(FIND("02",Criterios!A8,1)),ISNUMBER(FIND("03",Criterios!A8,1)),ISNUMBER(FIND("04",Criterios!A8,1))),(I19-W19+K19)/(F19-K19),(H19-W19+K19)/(F19-K19))</f>
        <v>-0.45317220543806647</v>
      </c>
      <c r="AR19" s="889">
        <f>IF(ISNUMBER((Datos!P19-Datos!Q19)/(Datos!R19-Datos!P19+Datos!Q19)),(Datos!P19-Datos!Q19)/(Datos!R19-Datos!P19+Datos!Q19)," - ")</f>
        <v>2.1739130434782608E-2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173.78243102607735</v>
      </c>
      <c r="G21" s="253">
        <f>IF(ISNUMBER(STDEV(G8:G18)),STDEV(G8:G18),"-")</f>
        <v>170.28417424998719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68.47627326307996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12.564500255349063</v>
      </c>
      <c r="AJ21" s="252">
        <f t="shared" si="18"/>
        <v>0</v>
      </c>
      <c r="AK21" s="254">
        <f t="shared" si="18"/>
        <v>0</v>
      </c>
      <c r="AL21" s="249">
        <f t="shared" si="18"/>
        <v>0.21972697636047481</v>
      </c>
      <c r="AM21" s="250">
        <f t="shared" si="18"/>
        <v>11.062252831075178</v>
      </c>
      <c r="AN21" s="250">
        <f t="shared" si="18"/>
        <v>0.32172807085513472</v>
      </c>
      <c r="AO21" s="251">
        <f t="shared" si="18"/>
        <v>5.5311264155375897</v>
      </c>
      <c r="AP21" s="291" t="str">
        <f t="shared" si="18"/>
        <v>-</v>
      </c>
      <c r="AQ21" s="292">
        <f t="shared" si="18"/>
        <v>0.18751755779567306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3U3/rM5nbufslOy3lkZhiEyPZwsJGtNRaU8ctebn+BeijjKKs5rvs+20etqSrWJNenCtv6Qe7zwhQlhNBu5A==" saltValue="SwLjefSf9hfQBaYH0NX/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OLIVENZA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-0.21052631578947367</v>
      </c>
      <c r="E10" s="348">
        <f>IF(ISNUMBER((Datos!J10-Datos!T10)/Datos!T10),(Datos!J10-Datos!T10)/Datos!T10," - ")</f>
        <v>0</v>
      </c>
      <c r="F10" s="348">
        <f>IF(ISNUMBER((Datos!K10-Datos!U10)/Datos!U10),(Datos!K10-Datos!U10)/Datos!U10," - ")</f>
        <v>0</v>
      </c>
      <c r="G10" s="349">
        <f>IF(ISNUMBER((Datos!L10-Datos!V10)/Datos!V10),(Datos!L10-Datos!V10)/Datos!V10," - ")</f>
        <v>-0.19047619047619047</v>
      </c>
      <c r="H10" s="230">
        <f>IF(ISNUMBER((Datos!M10-Datos!W10)/Datos!W10),(Datos!M10-Datos!W10)/Datos!W10," - ")</f>
        <v>0.5</v>
      </c>
      <c r="I10" s="350">
        <f>IF(ISNUMBER((Tasas!C10-Datos!BE10)/Datos!BE10),(Tasas!C10-Datos!BE10)/Datos!BE10," - ")</f>
        <v>-0.19047619047619044</v>
      </c>
      <c r="J10" s="349">
        <f>IF(ISNUMBER((Tasas!D10-Datos!BF10)/Datos!BF10),(Tasas!D10-Datos!BF10)/Datos!BF10," - ")</f>
        <v>0.50000000000000011</v>
      </c>
      <c r="K10" s="351">
        <f>IF(ISNUMBER((Tasas!E10-Datos!BG10)/Datos!BG10),(Tasas!E10-Datos!BG10)/Datos!BG10," - ")</f>
        <v>-0.16666666666666663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-0.11764705882352941</v>
      </c>
      <c r="I12" s="350">
        <f>IF(ISNUMBER((Tasas!C12-Datos!BE12)/Datos!BE12),(Tasas!C12-Datos!BE12)/Datos!BE12," - ")</f>
        <v>0.62406724180975881</v>
      </c>
      <c r="J12" s="349">
        <f>IF(ISNUMBER((Tasas!D12-Datos!BF12)/Datos!BF12),(Tasas!D12-Datos!BF12)/Datos!BF12," - ")</f>
        <v>-0.32511556240369804</v>
      </c>
      <c r="K12" s="351">
        <f>IF(ISNUMBER((Tasas!E12-Datos!BG12)/Datos!BG12),(Tasas!E12-Datos!BG12)/Datos!BG12," - ")</f>
        <v>0.55746357418971149</v>
      </c>
      <c r="M12" t="e">
        <f>IF(Monitorios="SI",Datos!CE12,0)</f>
        <v>#REF!</v>
      </c>
      <c r="N12" t="e">
        <f>IF(Monitorios="SI",Datos!CF12,0)</f>
        <v>#REF!</v>
      </c>
      <c r="O12" t="e">
        <f>IF(Monitorios="SI",Datos!CG12,0)</f>
        <v>#REF!</v>
      </c>
      <c r="P12" t="e">
        <f>IF(Monitorios="SI",Datos!CH12,0)</f>
        <v>#REF!</v>
      </c>
      <c r="Q12">
        <f>IF(J_V="SI",0,Datos!AG12)</f>
        <v>47</v>
      </c>
      <c r="R12">
        <f>IF(J_V="SI",0,Datos!AH12)</f>
        <v>13</v>
      </c>
      <c r="S12">
        <f>IF(J_V="SI",0,Datos!AI12)</f>
        <v>11</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-8.3333333333333329E-2</v>
      </c>
      <c r="I13" s="357">
        <f>IF(ISNUMBER((Tasas!C13-Datos!BE13)/Datos!BE13),(Tasas!C13-Datos!BE13)/Datos!BE13," - ")</f>
        <v>0.60587887209696611</v>
      </c>
      <c r="J13" s="355">
        <f>IF(ISNUMBER((Tasas!D13-Datos!BF13)/Datos!BF13),(Tasas!D13-Datos!BF13)/Datos!BF13," - ")</f>
        <v>-0.28708133971291872</v>
      </c>
      <c r="K13" s="358">
        <f>IF(ISNUMBER((Tasas!E13-Datos!BG13)/Datos!BG13),(Tasas!E13-Datos!BG13)/Datos!BG13," - ")</f>
        <v>0.54102545834520754</v>
      </c>
      <c r="M13" t="e">
        <f>IF(Monitorios="SI",Datos!CE13,0)</f>
        <v>#REF!</v>
      </c>
      <c r="N13" t="e">
        <f>IF(Monitorios="SI",Datos!CF13,0)</f>
        <v>#REF!</v>
      </c>
      <c r="O13" t="e">
        <f>IF(Monitorios="SI",Datos!CG13,0)</f>
        <v>#REF!</v>
      </c>
      <c r="P13" t="e">
        <f>IF(Monitorios="SI",Datos!CH13,0)</f>
        <v>#REF!</v>
      </c>
      <c r="Q13">
        <f>IF(J_V="SI",0,Datos!AG13)</f>
        <v>47</v>
      </c>
      <c r="R13">
        <f>IF(J_V="SI",0,Datos!AH13)</f>
        <v>13</v>
      </c>
      <c r="S13">
        <f>IF(J_V="SI",0,Datos!AI13)</f>
        <v>11</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-1.5576323987538941E-2</v>
      </c>
      <c r="E16" s="348">
        <f>IF(ISNUMBER(
   IF(D_I="SI",(Datos!J16-Datos!T16)/Datos!T16,(Datos!J16+Datos!AD16-(Datos!T16+Datos!AL16))/(Datos!T16+Datos!AL16))
     ),IF(D_I="SI",(Datos!J16-Datos!T16)/Datos!T16,(Datos!J16+Datos!AD16-(Datos!T16+Datos!AL16))/(Datos!T16+Datos!AL16))," - ")</f>
        <v>-0.2032520325203252</v>
      </c>
      <c r="F16" s="348">
        <f>IF(ISNUMBER(
   IF(D_I="SI",(Datos!K16-Datos!U16)/Datos!U16,(Datos!K16+Datos!AE16-(Datos!U16+Datos!AM16))/(Datos!U16+Datos!AM16))
     ),IF(D_I="SI",(Datos!K16-Datos!U16)/Datos!U16,(Datos!K16+Datos!AE16-(Datos!U16+Datos!AM16))/(Datos!U16+Datos!AM16))," - ")</f>
        <v>-0.54022988505747127</v>
      </c>
      <c r="G16" s="349">
        <f>IF(ISNUMBER(
   IF(D_I="SI",(Datos!L16-Datos!V16)/Datos!V16,(Datos!L16+Datos!AF16-(Datos!V16+Datos!AN16))/(Datos!V16+Datos!AN16))
     ),IF(D_I="SI",(Datos!L16-Datos!V16)/Datos!V16,(Datos!L16+Datos!AF16-(Datos!V16+Datos!AN16))/(Datos!V16+Datos!AN16))," - ")</f>
        <v>0.28104575163398693</v>
      </c>
      <c r="H16" s="230">
        <f>IF(ISNUMBER((Datos!M16-Datos!W16)/Datos!W16),(Datos!M16-Datos!W16)/Datos!W16," - ")</f>
        <v>-0.31034482758620691</v>
      </c>
      <c r="I16" s="350">
        <f>IF(ISNUMBER((Tasas!C16-Datos!BE16)/Datos!BE16),(Tasas!C16-Datos!BE16)/Datos!BE16," - ")</f>
        <v>1.7862745098039217</v>
      </c>
      <c r="J16" s="349">
        <f>IF(ISNUMBER((Tasas!D16-Datos!BF16)/Datos!BF16),(Tasas!D16-Datos!BF16)/Datos!BF16," - ")</f>
        <v>0.5</v>
      </c>
      <c r="K16" s="351">
        <f>IF(ISNUMBER((Tasas!E16-Datos!BG16)/Datos!BG16),(Tasas!E16-Datos!BG16)/Datos!BG16," - ")</f>
        <v>0.96402116402116389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-6.8965517241379309E-2</v>
      </c>
      <c r="F17" s="348">
        <f>IF(ISNUMBER(
   IF(D_I="SI",(Datos!K17-Datos!U17)/Datos!U17,(Datos!K17+Datos!AE17-(Datos!U17+Datos!AM17))/(Datos!U17+Datos!AM17))
     ),IF(D_I="SI",(Datos!K17-Datos!U17)/Datos!U17,(Datos!K17+Datos!AE17-(Datos!U17+Datos!AM17))/(Datos!U17+Datos!AM17))," - ")</f>
        <v>0.17391304347826086</v>
      </c>
      <c r="G17" s="349">
        <f>IF(ISNUMBER(
   IF(D_I="SI",(Datos!L17-Datos!V17)/Datos!V17,(Datos!L17+Datos!AF17-(Datos!V17+Datos!AN17))/(Datos!V17+Datos!AN17))
     ),IF(D_I="SI",(Datos!L17-Datos!V17)/Datos!V17,(Datos!L17+Datos!AF17-(Datos!V17+Datos!AN17))/(Datos!V17+Datos!AN17))," - ")</f>
        <v>0.36842105263157893</v>
      </c>
      <c r="H17" s="230">
        <f>IF(ISNUMBER((Datos!M17-Datos!W17)/Datos!W17),(Datos!M17-Datos!W17)/Datos!W17," - ")</f>
        <v>0</v>
      </c>
      <c r="I17" s="350">
        <f>IF(ISNUMBER((Tasas!C17-Datos!BE17)/Datos!BE17),(Tasas!C17-Datos!BE17)/Datos!BE17," - ")</f>
        <v>0.16569200779727089</v>
      </c>
      <c r="J17" s="349">
        <f>IF(ISNUMBER((Tasas!D17-Datos!BF17)/Datos!BF17),(Tasas!D17-Datos!BF17)/Datos!BF17," - ")</f>
        <v>-0.14814814814814817</v>
      </c>
      <c r="K17" s="351">
        <f>IF(ISNUMBER((Tasas!E17-Datos!BG17)/Datos!BG17),(Tasas!E17-Datos!BG17)/Datos!BG17," - ")</f>
        <v>7.4955908289241716E-2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2.3952095808383235E-2</v>
      </c>
      <c r="E18" s="354">
        <f>IF(ISNUMBER(
   IF(D_I="SI",(Datos!J18-Datos!T18)/Datos!T18,(Datos!J18+Datos!AD18-(Datos!T18+Datos!AL18))/(Datos!T18+Datos!AL18))
     ),IF(D_I="SI",(Datos!J18-Datos!T18)/Datos!T18,(Datos!J18+Datos!AD18-(Datos!T18+Datos!AL18))/(Datos!T18+Datos!AL18))," - ")</f>
        <v>-0.18909090909090909</v>
      </c>
      <c r="F18" s="354">
        <f>IF(ISNUMBER(
   IF(D_I="SI",(Datos!K18-Datos!U18)/Datos!U18,(Datos!K18+Datos!AE18-(Datos!U18+Datos!AM18))/(Datos!U18+Datos!AM18))
     ),IF(D_I="SI",(Datos!K18-Datos!U18)/Datos!U18,(Datos!K18+Datos!AE18-(Datos!U18+Datos!AM18))/(Datos!U18+Datos!AM18))," - ")</f>
        <v>-0.48239436619718312</v>
      </c>
      <c r="G18" s="355">
        <f>IF(ISNUMBER(
   IF(D_I="SI",(Datos!L18-Datos!V18)/Datos!V18,(Datos!L18+Datos!AF18-(Datos!V18+Datos!AN18))/(Datos!V18+Datos!AN18))
     ),IF(D_I="SI",(Datos!L18-Datos!V18)/Datos!V18,(Datos!L18+Datos!AF18-(Datos!V18+Datos!AN18))/(Datos!V18+Datos!AN18))," - ")</f>
        <v>0.28615384615384615</v>
      </c>
      <c r="H18" s="356">
        <f>IF(ISNUMBER((Datos!M18-Datos!W18)/Datos!W18),(Datos!M18-Datos!W18)/Datos!W18," - ")</f>
        <v>-0.25714285714285712</v>
      </c>
      <c r="I18" s="357">
        <f>IF(ISNUMBER((Tasas!C18-Datos!BE18)/Datos!BE18),(Tasas!C18-Datos!BE18)/Datos!BE18," - ")</f>
        <v>1.4848142333856622</v>
      </c>
      <c r="J18" s="355">
        <f>IF(ISNUMBER((Tasas!D18-Datos!BF18)/Datos!BF18),(Tasas!D18-Datos!BF18)/Datos!BF18," - ")</f>
        <v>0.43517978620019437</v>
      </c>
      <c r="K18" s="358">
        <f>IF(ISNUMBER((Tasas!E18-Datos!BG18)/Datos!BG18),(Tasas!E18-Datos!BG18)/Datos!BG18," - ")</f>
        <v>0.79238854819431892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0.30600292825768666</v>
      </c>
      <c r="E19" s="363">
        <f>IF(ISNUMBER(
   IF(J_V="SI",(Datos!J19-Datos!T19)/Datos!T19,(Datos!J19+Datos!Z19-(Datos!T19+Datos!AH19))/(Datos!T19+Datos!AH19))
     ),IF(J_V="SI",(Datos!J19-Datos!T19)/Datos!T19,(Datos!J19+Datos!Z19-(Datos!T19+Datos!AH19))/(Datos!T19+Datos!AH19))," - ")</f>
        <v>-0.17637795275590551</v>
      </c>
      <c r="F19" s="363">
        <f>IF(ISNUMBER(
   IF(J_V="SI",(Datos!K19-Datos!U19)/Datos!U19,(Datos!K19+Datos!AA19-(Datos!U19+Datos!AI19))/(Datos!U19+Datos!AI19))
     ),IF(J_V="SI",(Datos!K19-Datos!U19)/Datos!U19,(Datos!K19+Datos!AA19-(Datos!U19+Datos!AI19))/(Datos!U19+Datos!AI19))," - ")</f>
        <v>-0.38106235565819863</v>
      </c>
      <c r="G19" s="364">
        <f>IF(ISNUMBER(
   IF(J_V="SI",(Datos!L19-Datos!V19)/Datos!V19,(Datos!L19+Datos!AB19-(Datos!V19+Datos!AJ19))/(Datos!V19+Datos!AJ19))
     ),IF(J_V="SI",(Datos!L19-Datos!V19)/Datos!V19,(Datos!L19+Datos!AB19-(Datos!V19+Datos!AJ19))/(Datos!V19+Datos!AJ19))," - ")</f>
        <v>0.30038265306122447</v>
      </c>
      <c r="H19" s="365">
        <f>IF(ISNUMBER((Datos!M19-Datos!W19)/Datos!W19),(Datos!M19-Datos!W19)/Datos!W19," - ")</f>
        <v>-0.16901408450704225</v>
      </c>
      <c r="I19" s="362">
        <f>IF(ISNUMBER((Tasas!C19-Datos!BE19)/Datos!BE19),(Tasas!C19-Datos!BE19)/Datos!BE19," - ")</f>
        <v>1.1009913760280232</v>
      </c>
      <c r="J19" s="363">
        <f>IF(ISNUMBER((Tasas!D19-Datos!BF19)/Datos!BF19),(Tasas!D19-Datos!BF19)/Datos!BF19," - ")</f>
        <v>3.6137248539909128E-2</v>
      </c>
      <c r="K19" s="364">
        <f>IF(ISNUMBER((Tasas!E19-Datos!BG19)/Datos!BG19),(Tasas!E19-Datos!BG19)/Datos!BG19," - ")</f>
        <v>0.8627458658730337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0.54344478890993131</v>
      </c>
      <c r="E21" s="278">
        <f t="shared" si="1"/>
        <v>9.7675704315517767E-2</v>
      </c>
      <c r="F21" s="278">
        <f t="shared" si="1"/>
        <v>0.35342171287219371</v>
      </c>
      <c r="G21" s="279">
        <f t="shared" si="1"/>
        <v>0.25434617013997252</v>
      </c>
      <c r="H21" s="285">
        <f t="shared" si="1"/>
        <v>0.29024442038814036</v>
      </c>
      <c r="I21" s="277">
        <f t="shared" si="1"/>
        <v>0.75845422615685232</v>
      </c>
      <c r="J21" s="278">
        <f t="shared" si="1"/>
        <v>0.4058435226803313</v>
      </c>
      <c r="K21" s="279">
        <f t="shared" si="1"/>
        <v>0.42931390001772574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lCxOmmrgUa2wEXZJ/cKX6KEMYLdLrbPTj0N1MrNnaHzZ/5vdVryWD8x5bM8YGFKV2K24VszenPE4pBij+pJVg==" saltValue="BRa6f8OGpr0UfrUd3Vha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